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13_ncr:1_{867C1F3D-A83B-4CB9-9FFB-671BE540AA1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Nasional" sheetId="1" r:id="rId1"/>
    <sheet name="Provinsi" sheetId="2" r:id="rId2"/>
    <sheet name="Kabupaten" sheetId="3" r:id="rId3"/>
    <sheet name="111424_JointoSpasial" sheetId="4" state="hidden" r:id="rId4"/>
    <sheet name="Copy of RTRW" sheetId="5" state="hidden" r:id="rId5"/>
    <sheet name="BACK UP" sheetId="6" state="hidden" r:id="rId6"/>
    <sheet name="BU of PERDA RTRW LP2B DAN PERKA" sheetId="7" state="hidden" r:id="rId7"/>
    <sheet name="BU of REKAPITULASI" sheetId="8" state="hidden" r:id="rId8"/>
  </sheets>
  <definedNames>
    <definedName name="_xlnm._FilterDatabase" localSheetId="3" hidden="1">'111424_JointoSpasial'!$A$4:$P$519</definedName>
    <definedName name="_xlnm._FilterDatabase" localSheetId="6" hidden="1">'BU of PERDA RTRW LP2B DAN PERKA'!$B$5:$BA$546</definedName>
    <definedName name="_xlnm._FilterDatabase" localSheetId="4" hidden="1">'Copy of RTRW'!$A$3:$AG$53</definedName>
    <definedName name="_xlnm._FilterDatabase" localSheetId="2" hidden="1">Kabupaten!$I$4:$I$524</definedName>
    <definedName name="Z_8CA0649E_B0F3_4F9F_9A3F_69C710DA5DC5_.wvu.FilterData" localSheetId="3" hidden="1">'111424_JointoSpasial'!$A$4:$P$520</definedName>
    <definedName name="Z_8CA0649E_B0F3_4F9F_9A3F_69C710DA5DC5_.wvu.FilterData" localSheetId="2" hidden="1">Kabupaten!$A$4:$BQ$520</definedName>
    <definedName name="Z_C3196510_4660_4BEC_89BE_01C65EB5C10A_.wvu.FilterData" localSheetId="3" hidden="1">'111424_JointoSpasial'!$A$4:$P$522</definedName>
    <definedName name="Z_C3196510_4660_4BEC_89BE_01C65EB5C10A_.wvu.FilterData" localSheetId="2" hidden="1">Kabupaten!$A$4:$BQ$529</definedName>
  </definedNames>
  <calcPr calcId="191028"/>
  <customWorkbookViews>
    <customWorkbookView name="Filter 2" guid="{8CA0649E-B0F3-4F9F-9A3F-69C710DA5DC5}" maximized="1" windowWidth="0" windowHeight="0" activeSheetId="0"/>
    <customWorkbookView name="Filter 1" guid="{C3196510-4660-4BEC-89BE-01C65EB5C10A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bEau5cGbh2DBiam7g8krRDOlEHi0E0i2ooRcokddQA0="/>
    </ext>
  </extLst>
</workbook>
</file>

<file path=xl/calcChain.xml><?xml version="1.0" encoding="utf-8"?>
<calcChain xmlns="http://schemas.openxmlformats.org/spreadsheetml/2006/main">
  <c r="C39" i="8" l="1"/>
  <c r="M38" i="8"/>
  <c r="K38" i="8"/>
  <c r="I38" i="8"/>
  <c r="J38" i="8" s="1"/>
  <c r="H38" i="8"/>
  <c r="G38" i="8"/>
  <c r="F38" i="8"/>
  <c r="E38" i="8"/>
  <c r="L38" i="8" s="1"/>
  <c r="D38" i="8"/>
  <c r="M37" i="8"/>
  <c r="K37" i="8"/>
  <c r="I37" i="8"/>
  <c r="J37" i="8" s="1"/>
  <c r="H37" i="8"/>
  <c r="G37" i="8"/>
  <c r="F37" i="8"/>
  <c r="E37" i="8"/>
  <c r="L37" i="8" s="1"/>
  <c r="D37" i="8"/>
  <c r="M36" i="8"/>
  <c r="K36" i="8"/>
  <c r="I36" i="8"/>
  <c r="H36" i="8"/>
  <c r="G36" i="8"/>
  <c r="F36" i="8"/>
  <c r="E36" i="8"/>
  <c r="L36" i="8" s="1"/>
  <c r="D36" i="8"/>
  <c r="M35" i="8"/>
  <c r="K35" i="8"/>
  <c r="I35" i="8"/>
  <c r="J35" i="8" s="1"/>
  <c r="H35" i="8"/>
  <c r="G35" i="8"/>
  <c r="F35" i="8"/>
  <c r="E35" i="8"/>
  <c r="L35" i="8" s="1"/>
  <c r="D35" i="8"/>
  <c r="M34" i="8"/>
  <c r="K34" i="8"/>
  <c r="I34" i="8"/>
  <c r="J34" i="8" s="1"/>
  <c r="H34" i="8"/>
  <c r="G34" i="8"/>
  <c r="F34" i="8"/>
  <c r="E34" i="8"/>
  <c r="L34" i="8" s="1"/>
  <c r="D34" i="8"/>
  <c r="M33" i="8"/>
  <c r="K33" i="8"/>
  <c r="I33" i="8"/>
  <c r="J33" i="8" s="1"/>
  <c r="H33" i="8"/>
  <c r="G33" i="8"/>
  <c r="F33" i="8"/>
  <c r="E33" i="8"/>
  <c r="L33" i="8" s="1"/>
  <c r="D33" i="8"/>
  <c r="M32" i="8"/>
  <c r="K32" i="8"/>
  <c r="I32" i="8"/>
  <c r="H32" i="8"/>
  <c r="G32" i="8"/>
  <c r="F32" i="8"/>
  <c r="E32" i="8"/>
  <c r="L32" i="8" s="1"/>
  <c r="D32" i="8"/>
  <c r="M31" i="8"/>
  <c r="K31" i="8"/>
  <c r="I31" i="8"/>
  <c r="J31" i="8" s="1"/>
  <c r="H31" i="8"/>
  <c r="G31" i="8"/>
  <c r="F31" i="8"/>
  <c r="E31" i="8"/>
  <c r="L31" i="8" s="1"/>
  <c r="D31" i="8"/>
  <c r="M30" i="8"/>
  <c r="K30" i="8"/>
  <c r="I30" i="8"/>
  <c r="J30" i="8" s="1"/>
  <c r="H30" i="8"/>
  <c r="G30" i="8"/>
  <c r="F30" i="8"/>
  <c r="E30" i="8"/>
  <c r="L30" i="8" s="1"/>
  <c r="D30" i="8"/>
  <c r="M29" i="8"/>
  <c r="K29" i="8"/>
  <c r="I29" i="8"/>
  <c r="J29" i="8" s="1"/>
  <c r="H29" i="8"/>
  <c r="G29" i="8"/>
  <c r="F29" i="8"/>
  <c r="E29" i="8"/>
  <c r="L29" i="8" s="1"/>
  <c r="D29" i="8"/>
  <c r="M28" i="8"/>
  <c r="K28" i="8"/>
  <c r="I28" i="8"/>
  <c r="H28" i="8"/>
  <c r="G28" i="8"/>
  <c r="F28" i="8"/>
  <c r="E28" i="8"/>
  <c r="L28" i="8" s="1"/>
  <c r="D28" i="8"/>
  <c r="M27" i="8"/>
  <c r="K27" i="8"/>
  <c r="I27" i="8"/>
  <c r="J27" i="8" s="1"/>
  <c r="H27" i="8"/>
  <c r="G27" i="8"/>
  <c r="F27" i="8"/>
  <c r="E27" i="8"/>
  <c r="L27" i="8" s="1"/>
  <c r="D27" i="8"/>
  <c r="M26" i="8"/>
  <c r="K26" i="8"/>
  <c r="I26" i="8"/>
  <c r="J26" i="8" s="1"/>
  <c r="H26" i="8"/>
  <c r="G26" i="8"/>
  <c r="F26" i="8"/>
  <c r="E26" i="8"/>
  <c r="L26" i="8" s="1"/>
  <c r="D26" i="8"/>
  <c r="M25" i="8"/>
  <c r="K25" i="8"/>
  <c r="I25" i="8"/>
  <c r="J25" i="8" s="1"/>
  <c r="H25" i="8"/>
  <c r="G25" i="8"/>
  <c r="F25" i="8"/>
  <c r="E25" i="8"/>
  <c r="L25" i="8" s="1"/>
  <c r="D25" i="8"/>
  <c r="M24" i="8"/>
  <c r="K24" i="8"/>
  <c r="I24" i="8"/>
  <c r="H24" i="8"/>
  <c r="G24" i="8"/>
  <c r="F24" i="8"/>
  <c r="E24" i="8"/>
  <c r="L24" i="8" s="1"/>
  <c r="D24" i="8"/>
  <c r="M23" i="8"/>
  <c r="K23" i="8"/>
  <c r="I23" i="8"/>
  <c r="J23" i="8" s="1"/>
  <c r="H23" i="8"/>
  <c r="G23" i="8"/>
  <c r="F23" i="8"/>
  <c r="E23" i="8"/>
  <c r="L23" i="8" s="1"/>
  <c r="D23" i="8"/>
  <c r="M22" i="8"/>
  <c r="K22" i="8"/>
  <c r="I22" i="8"/>
  <c r="J22" i="8" s="1"/>
  <c r="H22" i="8"/>
  <c r="G22" i="8"/>
  <c r="F22" i="8"/>
  <c r="E22" i="8"/>
  <c r="L22" i="8" s="1"/>
  <c r="D22" i="8"/>
  <c r="M21" i="8"/>
  <c r="K21" i="8"/>
  <c r="I21" i="8"/>
  <c r="J21" i="8" s="1"/>
  <c r="H21" i="8"/>
  <c r="G21" i="8"/>
  <c r="F21" i="8"/>
  <c r="E21" i="8"/>
  <c r="L21" i="8" s="1"/>
  <c r="D21" i="8"/>
  <c r="M20" i="8"/>
  <c r="K20" i="8"/>
  <c r="I20" i="8"/>
  <c r="H20" i="8"/>
  <c r="G20" i="8"/>
  <c r="F20" i="8"/>
  <c r="E20" i="8"/>
  <c r="L20" i="8" s="1"/>
  <c r="D20" i="8"/>
  <c r="M19" i="8"/>
  <c r="K19" i="8"/>
  <c r="I19" i="8"/>
  <c r="J19" i="8" s="1"/>
  <c r="H19" i="8"/>
  <c r="G19" i="8"/>
  <c r="F19" i="8"/>
  <c r="E19" i="8"/>
  <c r="L19" i="8" s="1"/>
  <c r="D19" i="8"/>
  <c r="M18" i="8"/>
  <c r="K18" i="8"/>
  <c r="I18" i="8"/>
  <c r="J18" i="8" s="1"/>
  <c r="H18" i="8"/>
  <c r="G18" i="8"/>
  <c r="F18" i="8"/>
  <c r="E18" i="8"/>
  <c r="L18" i="8" s="1"/>
  <c r="D18" i="8"/>
  <c r="M17" i="8"/>
  <c r="K17" i="8"/>
  <c r="I17" i="8"/>
  <c r="J17" i="8" s="1"/>
  <c r="H17" i="8"/>
  <c r="G17" i="8"/>
  <c r="F17" i="8"/>
  <c r="E17" i="8"/>
  <c r="L17" i="8" s="1"/>
  <c r="D17" i="8"/>
  <c r="M16" i="8"/>
  <c r="L16" i="8"/>
  <c r="K16" i="8"/>
  <c r="I16" i="8"/>
  <c r="D16" i="8"/>
  <c r="M15" i="8"/>
  <c r="K15" i="8"/>
  <c r="I15" i="8"/>
  <c r="J15" i="8" s="1"/>
  <c r="H15" i="8"/>
  <c r="G15" i="8"/>
  <c r="F15" i="8"/>
  <c r="E15" i="8"/>
  <c r="L15" i="8" s="1"/>
  <c r="D15" i="8"/>
  <c r="M14" i="8"/>
  <c r="K14" i="8"/>
  <c r="I14" i="8"/>
  <c r="H14" i="8"/>
  <c r="G14" i="8"/>
  <c r="F14" i="8"/>
  <c r="E14" i="8"/>
  <c r="L14" i="8" s="1"/>
  <c r="D14" i="8"/>
  <c r="M13" i="8"/>
  <c r="K13" i="8"/>
  <c r="I13" i="8"/>
  <c r="J13" i="8" s="1"/>
  <c r="H13" i="8"/>
  <c r="G13" i="8"/>
  <c r="F13" i="8"/>
  <c r="E13" i="8"/>
  <c r="L13" i="8" s="1"/>
  <c r="D13" i="8"/>
  <c r="M12" i="8"/>
  <c r="K12" i="8"/>
  <c r="I12" i="8"/>
  <c r="J12" i="8" s="1"/>
  <c r="H12" i="8"/>
  <c r="G12" i="8"/>
  <c r="F12" i="8"/>
  <c r="E12" i="8"/>
  <c r="L12" i="8" s="1"/>
  <c r="D12" i="8"/>
  <c r="M11" i="8"/>
  <c r="K11" i="8"/>
  <c r="I11" i="8"/>
  <c r="J11" i="8" s="1"/>
  <c r="H11" i="8"/>
  <c r="G11" i="8"/>
  <c r="F11" i="8"/>
  <c r="E11" i="8"/>
  <c r="L11" i="8" s="1"/>
  <c r="D11" i="8"/>
  <c r="M10" i="8"/>
  <c r="K10" i="8"/>
  <c r="I10" i="8"/>
  <c r="H10" i="8"/>
  <c r="G10" i="8"/>
  <c r="F10" i="8"/>
  <c r="E10" i="8"/>
  <c r="L10" i="8" s="1"/>
  <c r="D10" i="8"/>
  <c r="M9" i="8"/>
  <c r="K9" i="8"/>
  <c r="I9" i="8"/>
  <c r="J9" i="8" s="1"/>
  <c r="H9" i="8"/>
  <c r="G9" i="8"/>
  <c r="F9" i="8"/>
  <c r="E9" i="8"/>
  <c r="L9" i="8" s="1"/>
  <c r="D9" i="8"/>
  <c r="M8" i="8"/>
  <c r="K8" i="8"/>
  <c r="I8" i="8"/>
  <c r="J8" i="8" s="1"/>
  <c r="H8" i="8"/>
  <c r="G8" i="8"/>
  <c r="F8" i="8"/>
  <c r="E8" i="8"/>
  <c r="L8" i="8" s="1"/>
  <c r="D8" i="8"/>
  <c r="M7" i="8"/>
  <c r="K7" i="8"/>
  <c r="I7" i="8"/>
  <c r="J7" i="8" s="1"/>
  <c r="H7" i="8"/>
  <c r="G7" i="8"/>
  <c r="F7" i="8"/>
  <c r="E7" i="8"/>
  <c r="L7" i="8" s="1"/>
  <c r="D7" i="8"/>
  <c r="M6" i="8"/>
  <c r="K6" i="8"/>
  <c r="I6" i="8"/>
  <c r="H6" i="8"/>
  <c r="G6" i="8"/>
  <c r="F6" i="8"/>
  <c r="E6" i="8"/>
  <c r="L6" i="8" s="1"/>
  <c r="D6" i="8"/>
  <c r="M5" i="8"/>
  <c r="K5" i="8"/>
  <c r="K39" i="8" s="1"/>
  <c r="I5" i="8"/>
  <c r="H5" i="8"/>
  <c r="H39" i="8" s="1"/>
  <c r="I41" i="8" s="1"/>
  <c r="G5" i="8"/>
  <c r="G39" i="8" s="1"/>
  <c r="F5" i="8"/>
  <c r="F39" i="8" s="1"/>
  <c r="E5" i="8"/>
  <c r="D5" i="8"/>
  <c r="D39" i="8" s="1"/>
  <c r="AW548" i="7"/>
  <c r="AK546" i="7"/>
  <c r="AE546" i="7"/>
  <c r="Y546" i="7"/>
  <c r="AP546" i="7" s="1"/>
  <c r="S546" i="7"/>
  <c r="L546" i="7" s="1"/>
  <c r="N546" i="7"/>
  <c r="AM546" i="7" s="1"/>
  <c r="F546" i="7"/>
  <c r="E546" i="7"/>
  <c r="AN545" i="7"/>
  <c r="AK545" i="7"/>
  <c r="AE545" i="7"/>
  <c r="Y545" i="7"/>
  <c r="AP545" i="7" s="1"/>
  <c r="AQ545" i="7" s="1"/>
  <c r="S545" i="7"/>
  <c r="L545" i="7" s="1"/>
  <c r="N545" i="7"/>
  <c r="AM545" i="7" s="1"/>
  <c r="F545" i="7"/>
  <c r="E545" i="7"/>
  <c r="AN544" i="7"/>
  <c r="AK544" i="7"/>
  <c r="AE544" i="7"/>
  <c r="Y544" i="7"/>
  <c r="AP544" i="7" s="1"/>
  <c r="S544" i="7"/>
  <c r="L544" i="7" s="1"/>
  <c r="N544" i="7"/>
  <c r="AM544" i="7" s="1"/>
  <c r="F544" i="7"/>
  <c r="E544" i="7"/>
  <c r="AQ543" i="7"/>
  <c r="AN543" i="7"/>
  <c r="AK543" i="7"/>
  <c r="AE543" i="7"/>
  <c r="Y543" i="7"/>
  <c r="AP543" i="7" s="1"/>
  <c r="S543" i="7"/>
  <c r="L543" i="7" s="1"/>
  <c r="N543" i="7"/>
  <c r="AM543" i="7" s="1"/>
  <c r="F543" i="7"/>
  <c r="E543" i="7"/>
  <c r="AN542" i="7"/>
  <c r="AK542" i="7"/>
  <c r="AE542" i="7"/>
  <c r="Y542" i="7"/>
  <c r="AP542" i="7" s="1"/>
  <c r="S542" i="7"/>
  <c r="L542" i="7" s="1"/>
  <c r="N542" i="7"/>
  <c r="AM542" i="7" s="1"/>
  <c r="F542" i="7"/>
  <c r="E542" i="7"/>
  <c r="AN541" i="7"/>
  <c r="AK541" i="7"/>
  <c r="AE541" i="7"/>
  <c r="Y541" i="7"/>
  <c r="AP541" i="7" s="1"/>
  <c r="S541" i="7"/>
  <c r="L541" i="7" s="1"/>
  <c r="N541" i="7"/>
  <c r="AM541" i="7" s="1"/>
  <c r="AQ541" i="7" s="1"/>
  <c r="F541" i="7"/>
  <c r="E541" i="7"/>
  <c r="AZ540" i="7"/>
  <c r="AX540" i="7"/>
  <c r="AV540" i="7"/>
  <c r="AP540" i="7"/>
  <c r="AK540" i="7"/>
  <c r="AE540" i="7"/>
  <c r="Y540" i="7"/>
  <c r="S540" i="7"/>
  <c r="AN540" i="7" s="1"/>
  <c r="N540" i="7"/>
  <c r="AM540" i="7" s="1"/>
  <c r="AQ540" i="7" s="1"/>
  <c r="L540" i="7"/>
  <c r="F540" i="7"/>
  <c r="E540" i="7"/>
  <c r="AN539" i="7"/>
  <c r="AM539" i="7"/>
  <c r="AK539" i="7"/>
  <c r="AE539" i="7"/>
  <c r="Y539" i="7"/>
  <c r="S539" i="7"/>
  <c r="N539" i="7"/>
  <c r="F539" i="7"/>
  <c r="E539" i="7"/>
  <c r="AZ538" i="7"/>
  <c r="AX538" i="7"/>
  <c r="AV538" i="7"/>
  <c r="AN538" i="7"/>
  <c r="AM538" i="7"/>
  <c r="AK538" i="7"/>
  <c r="AE538" i="7"/>
  <c r="Y538" i="7"/>
  <c r="S538" i="7"/>
  <c r="N538" i="7"/>
  <c r="F538" i="7"/>
  <c r="E538" i="7"/>
  <c r="AN537" i="7"/>
  <c r="AK537" i="7"/>
  <c r="AE537" i="7"/>
  <c r="Y537" i="7"/>
  <c r="AP537" i="7" s="1"/>
  <c r="S537" i="7"/>
  <c r="L537" i="7" s="1"/>
  <c r="N537" i="7"/>
  <c r="AM537" i="7" s="1"/>
  <c r="F537" i="7"/>
  <c r="E537" i="7"/>
  <c r="AN536" i="7"/>
  <c r="AM536" i="7"/>
  <c r="AK536" i="7"/>
  <c r="AE536" i="7"/>
  <c r="Y536" i="7"/>
  <c r="S536" i="7"/>
  <c r="N536" i="7"/>
  <c r="F536" i="7"/>
  <c r="E536" i="7"/>
  <c r="AN535" i="7"/>
  <c r="AK535" i="7"/>
  <c r="AE535" i="7"/>
  <c r="Y535" i="7"/>
  <c r="AP535" i="7" s="1"/>
  <c r="S535" i="7"/>
  <c r="L535" i="7" s="1"/>
  <c r="N535" i="7"/>
  <c r="AM535" i="7" s="1"/>
  <c r="F535" i="7"/>
  <c r="E535" i="7"/>
  <c r="AN534" i="7"/>
  <c r="AM534" i="7"/>
  <c r="AK534" i="7"/>
  <c r="AE534" i="7"/>
  <c r="Y534" i="7"/>
  <c r="S534" i="7"/>
  <c r="N534" i="7"/>
  <c r="F534" i="7"/>
  <c r="E534" i="7"/>
  <c r="AN533" i="7"/>
  <c r="AK533" i="7"/>
  <c r="AE533" i="7"/>
  <c r="Y533" i="7"/>
  <c r="AP533" i="7" s="1"/>
  <c r="S533" i="7"/>
  <c r="L533" i="7" s="1"/>
  <c r="N533" i="7"/>
  <c r="AM533" i="7" s="1"/>
  <c r="AQ533" i="7" s="1"/>
  <c r="F533" i="7"/>
  <c r="E533" i="7"/>
  <c r="AN532" i="7"/>
  <c r="AM532" i="7"/>
  <c r="AK532" i="7"/>
  <c r="AE532" i="7"/>
  <c r="Y532" i="7"/>
  <c r="S532" i="7"/>
  <c r="N532" i="7"/>
  <c r="F532" i="7"/>
  <c r="E532" i="7"/>
  <c r="AN531" i="7"/>
  <c r="AK531" i="7"/>
  <c r="AE531" i="7"/>
  <c r="Y531" i="7"/>
  <c r="AP531" i="7" s="1"/>
  <c r="S531" i="7"/>
  <c r="L531" i="7" s="1"/>
  <c r="N531" i="7"/>
  <c r="AM531" i="7" s="1"/>
  <c r="AQ531" i="7" s="1"/>
  <c r="F531" i="7"/>
  <c r="E531" i="7"/>
  <c r="AN530" i="7"/>
  <c r="AM530" i="7"/>
  <c r="AK530" i="7"/>
  <c r="AE530" i="7"/>
  <c r="Y530" i="7"/>
  <c r="S530" i="7"/>
  <c r="N530" i="7"/>
  <c r="F530" i="7"/>
  <c r="E530" i="7"/>
  <c r="AN529" i="7"/>
  <c r="AK529" i="7"/>
  <c r="AE529" i="7"/>
  <c r="Y529" i="7"/>
  <c r="AP529" i="7" s="1"/>
  <c r="S529" i="7"/>
  <c r="L529" i="7" s="1"/>
  <c r="N529" i="7"/>
  <c r="AM529" i="7" s="1"/>
  <c r="F529" i="7"/>
  <c r="E529" i="7"/>
  <c r="AN528" i="7"/>
  <c r="AM528" i="7"/>
  <c r="AK528" i="7"/>
  <c r="AE528" i="7"/>
  <c r="Y528" i="7"/>
  <c r="S528" i="7"/>
  <c r="N528" i="7"/>
  <c r="F528" i="7"/>
  <c r="E528" i="7"/>
  <c r="AN527" i="7"/>
  <c r="AK527" i="7"/>
  <c r="AE527" i="7"/>
  <c r="Y527" i="7"/>
  <c r="AP527" i="7" s="1"/>
  <c r="S527" i="7"/>
  <c r="L527" i="7" s="1"/>
  <c r="N527" i="7"/>
  <c r="AM527" i="7" s="1"/>
  <c r="F527" i="7"/>
  <c r="E527" i="7"/>
  <c r="AN526" i="7"/>
  <c r="AM526" i="7"/>
  <c r="AK526" i="7"/>
  <c r="AE526" i="7"/>
  <c r="Y526" i="7"/>
  <c r="AP526" i="7" s="1"/>
  <c r="S526" i="7"/>
  <c r="N526" i="7"/>
  <c r="L526" i="7"/>
  <c r="F526" i="7"/>
  <c r="E526" i="7"/>
  <c r="AN525" i="7"/>
  <c r="AK525" i="7"/>
  <c r="AE525" i="7"/>
  <c r="Y525" i="7"/>
  <c r="AP525" i="7" s="1"/>
  <c r="S525" i="7"/>
  <c r="L525" i="7" s="1"/>
  <c r="N525" i="7"/>
  <c r="AM525" i="7" s="1"/>
  <c r="F525" i="7"/>
  <c r="E525" i="7"/>
  <c r="AN524" i="7"/>
  <c r="AM524" i="7"/>
  <c r="AK524" i="7"/>
  <c r="AE524" i="7"/>
  <c r="Y524" i="7"/>
  <c r="S524" i="7"/>
  <c r="N524" i="7"/>
  <c r="F524" i="7"/>
  <c r="E524" i="7"/>
  <c r="AN523" i="7"/>
  <c r="AK523" i="7"/>
  <c r="AE523" i="7"/>
  <c r="Y523" i="7"/>
  <c r="AP523" i="7" s="1"/>
  <c r="S523" i="7"/>
  <c r="L523" i="7" s="1"/>
  <c r="N523" i="7"/>
  <c r="AM523" i="7" s="1"/>
  <c r="F523" i="7"/>
  <c r="E523" i="7"/>
  <c r="AN522" i="7"/>
  <c r="AM522" i="7"/>
  <c r="AK522" i="7"/>
  <c r="AE522" i="7"/>
  <c r="Y522" i="7"/>
  <c r="S522" i="7"/>
  <c r="N522" i="7"/>
  <c r="F522" i="7"/>
  <c r="E522" i="7"/>
  <c r="AN521" i="7"/>
  <c r="AK521" i="7"/>
  <c r="AE521" i="7"/>
  <c r="Y521" i="7"/>
  <c r="AP521" i="7" s="1"/>
  <c r="S521" i="7"/>
  <c r="L521" i="7" s="1"/>
  <c r="N521" i="7"/>
  <c r="AM521" i="7" s="1"/>
  <c r="F521" i="7"/>
  <c r="E521" i="7"/>
  <c r="AN520" i="7"/>
  <c r="AM520" i="7"/>
  <c r="AK520" i="7"/>
  <c r="AE520" i="7"/>
  <c r="Y520" i="7"/>
  <c r="S520" i="7"/>
  <c r="N520" i="7"/>
  <c r="F520" i="7"/>
  <c r="E520" i="7"/>
  <c r="AN519" i="7"/>
  <c r="AK519" i="7"/>
  <c r="AE519" i="7"/>
  <c r="Y519" i="7"/>
  <c r="AP519" i="7" s="1"/>
  <c r="S519" i="7"/>
  <c r="L519" i="7" s="1"/>
  <c r="N519" i="7"/>
  <c r="AM519" i="7" s="1"/>
  <c r="AQ519" i="7" s="1"/>
  <c r="F519" i="7"/>
  <c r="E519" i="7"/>
  <c r="AN518" i="7"/>
  <c r="AM518" i="7"/>
  <c r="AK518" i="7"/>
  <c r="AE518" i="7"/>
  <c r="Y518" i="7"/>
  <c r="S518" i="7"/>
  <c r="N518" i="7"/>
  <c r="F518" i="7"/>
  <c r="E518" i="7"/>
  <c r="AQ517" i="7"/>
  <c r="AE517" i="7"/>
  <c r="Y517" i="7"/>
  <c r="S517" i="7"/>
  <c r="R517" i="7"/>
  <c r="Q517" i="7"/>
  <c r="P517" i="7"/>
  <c r="K517" i="7"/>
  <c r="J517" i="7"/>
  <c r="E517" i="7"/>
  <c r="AM516" i="7"/>
  <c r="AK516" i="7"/>
  <c r="AE516" i="7"/>
  <c r="Y516" i="7"/>
  <c r="AP516" i="7" s="1"/>
  <c r="S516" i="7"/>
  <c r="N516" i="7"/>
  <c r="F516" i="7"/>
  <c r="E516" i="7"/>
  <c r="AP515" i="7"/>
  <c r="AN515" i="7"/>
  <c r="AM515" i="7"/>
  <c r="AK515" i="7"/>
  <c r="AE515" i="7"/>
  <c r="Y515" i="7"/>
  <c r="S515" i="7"/>
  <c r="L515" i="7" s="1"/>
  <c r="N515" i="7"/>
  <c r="F515" i="7"/>
  <c r="E515" i="7"/>
  <c r="AM514" i="7"/>
  <c r="AK514" i="7"/>
  <c r="AE514" i="7"/>
  <c r="Y514" i="7"/>
  <c r="AP514" i="7" s="1"/>
  <c r="S514" i="7"/>
  <c r="L514" i="7" s="1"/>
  <c r="N514" i="7"/>
  <c r="F514" i="7"/>
  <c r="E514" i="7"/>
  <c r="AN513" i="7"/>
  <c r="AM513" i="7"/>
  <c r="AK513" i="7"/>
  <c r="AE513" i="7"/>
  <c r="Y513" i="7"/>
  <c r="AP513" i="7" s="1"/>
  <c r="S513" i="7"/>
  <c r="L513" i="7" s="1"/>
  <c r="N513" i="7"/>
  <c r="F513" i="7"/>
  <c r="E513" i="7"/>
  <c r="AM512" i="7"/>
  <c r="AK512" i="7"/>
  <c r="AE512" i="7"/>
  <c r="Y512" i="7"/>
  <c r="AP512" i="7" s="1"/>
  <c r="S512" i="7"/>
  <c r="L512" i="7" s="1"/>
  <c r="N512" i="7"/>
  <c r="F512" i="7"/>
  <c r="E512" i="7"/>
  <c r="AN511" i="7"/>
  <c r="AM511" i="7"/>
  <c r="AK511" i="7"/>
  <c r="AE511" i="7"/>
  <c r="Y511" i="7"/>
  <c r="AP511" i="7" s="1"/>
  <c r="S511" i="7"/>
  <c r="L511" i="7" s="1"/>
  <c r="N511" i="7"/>
  <c r="F511" i="7"/>
  <c r="E511" i="7"/>
  <c r="AM510" i="7"/>
  <c r="AK510" i="7"/>
  <c r="AE510" i="7"/>
  <c r="Y510" i="7"/>
  <c r="AP510" i="7" s="1"/>
  <c r="S510" i="7"/>
  <c r="L510" i="7" s="1"/>
  <c r="N510" i="7"/>
  <c r="F510" i="7"/>
  <c r="E510" i="7"/>
  <c r="AM509" i="7"/>
  <c r="AK509" i="7"/>
  <c r="AE509" i="7"/>
  <c r="Y509" i="7"/>
  <c r="AP509" i="7" s="1"/>
  <c r="S509" i="7"/>
  <c r="N509" i="7"/>
  <c r="F509" i="7"/>
  <c r="E509" i="7"/>
  <c r="AM508" i="7"/>
  <c r="AK508" i="7"/>
  <c r="AE508" i="7"/>
  <c r="Y508" i="7"/>
  <c r="AP508" i="7" s="1"/>
  <c r="S508" i="7"/>
  <c r="L508" i="7" s="1"/>
  <c r="N508" i="7"/>
  <c r="F508" i="7"/>
  <c r="E508" i="7"/>
  <c r="AM507" i="7"/>
  <c r="AK507" i="7"/>
  <c r="AE507" i="7"/>
  <c r="Y507" i="7"/>
  <c r="AP507" i="7" s="1"/>
  <c r="S507" i="7"/>
  <c r="N507" i="7"/>
  <c r="F507" i="7"/>
  <c r="E507" i="7"/>
  <c r="AM506" i="7"/>
  <c r="AK506" i="7"/>
  <c r="AE506" i="7"/>
  <c r="Y506" i="7"/>
  <c r="S506" i="7"/>
  <c r="L506" i="7" s="1"/>
  <c r="N506" i="7"/>
  <c r="F506" i="7"/>
  <c r="E506" i="7"/>
  <c r="AM505" i="7"/>
  <c r="AK505" i="7"/>
  <c r="AE505" i="7"/>
  <c r="Y505" i="7"/>
  <c r="AP505" i="7" s="1"/>
  <c r="S505" i="7"/>
  <c r="L505" i="7" s="1"/>
  <c r="N505" i="7"/>
  <c r="F505" i="7"/>
  <c r="E505" i="7"/>
  <c r="AM504" i="7"/>
  <c r="AK504" i="7"/>
  <c r="AE504" i="7"/>
  <c r="Y504" i="7"/>
  <c r="AP504" i="7" s="1"/>
  <c r="S504" i="7"/>
  <c r="N504" i="7"/>
  <c r="F504" i="7"/>
  <c r="E504" i="7"/>
  <c r="AK503" i="7"/>
  <c r="AE503" i="7"/>
  <c r="R503" i="7"/>
  <c r="Q503" i="7"/>
  <c r="P503" i="7"/>
  <c r="K503" i="7"/>
  <c r="J503" i="7"/>
  <c r="E503" i="7"/>
  <c r="AN502" i="7"/>
  <c r="AK502" i="7"/>
  <c r="AE502" i="7"/>
  <c r="Y502" i="7"/>
  <c r="AP502" i="7" s="1"/>
  <c r="S502" i="7"/>
  <c r="N502" i="7"/>
  <c r="AM502" i="7" s="1"/>
  <c r="F502" i="7"/>
  <c r="E502" i="7"/>
  <c r="AZ501" i="7"/>
  <c r="AX501" i="7"/>
  <c r="AS501" i="7"/>
  <c r="AP501" i="7"/>
  <c r="AK501" i="7"/>
  <c r="AE501" i="7"/>
  <c r="Y501" i="7"/>
  <c r="AU501" i="7" s="1"/>
  <c r="AV501" i="7" s="1"/>
  <c r="S501" i="7"/>
  <c r="AN501" i="7" s="1"/>
  <c r="N501" i="7"/>
  <c r="AM501" i="7" s="1"/>
  <c r="L501" i="7"/>
  <c r="F501" i="7"/>
  <c r="E501" i="7"/>
  <c r="AN500" i="7"/>
  <c r="AK500" i="7"/>
  <c r="AE500" i="7"/>
  <c r="Y500" i="7"/>
  <c r="S500" i="7"/>
  <c r="N500" i="7"/>
  <c r="AM500" i="7" s="1"/>
  <c r="F500" i="7"/>
  <c r="E500" i="7"/>
  <c r="AP499" i="7"/>
  <c r="AK499" i="7"/>
  <c r="AE499" i="7"/>
  <c r="Y499" i="7"/>
  <c r="S499" i="7"/>
  <c r="AN499" i="7" s="1"/>
  <c r="N499" i="7"/>
  <c r="AM499" i="7" s="1"/>
  <c r="AQ499" i="7" s="1"/>
  <c r="L499" i="7"/>
  <c r="F499" i="7"/>
  <c r="E499" i="7"/>
  <c r="AN498" i="7"/>
  <c r="AK498" i="7"/>
  <c r="AE498" i="7"/>
  <c r="Y498" i="7"/>
  <c r="S498" i="7"/>
  <c r="N498" i="7"/>
  <c r="AM498" i="7" s="1"/>
  <c r="F498" i="7"/>
  <c r="E498" i="7"/>
  <c r="AZ497" i="7"/>
  <c r="AX497" i="7"/>
  <c r="AV497" i="7"/>
  <c r="AP497" i="7"/>
  <c r="AN497" i="7"/>
  <c r="AM497" i="7"/>
  <c r="AK497" i="7"/>
  <c r="AE497" i="7"/>
  <c r="Y497" i="7"/>
  <c r="S497" i="7"/>
  <c r="N497" i="7"/>
  <c r="L497" i="7"/>
  <c r="F497" i="7"/>
  <c r="E497" i="7"/>
  <c r="AN496" i="7"/>
  <c r="AK496" i="7"/>
  <c r="AE496" i="7"/>
  <c r="Y496" i="7"/>
  <c r="AP496" i="7" s="1"/>
  <c r="S496" i="7"/>
  <c r="L496" i="7" s="1"/>
  <c r="N496" i="7"/>
  <c r="AM496" i="7" s="1"/>
  <c r="AQ496" i="7" s="1"/>
  <c r="F496" i="7"/>
  <c r="E496" i="7"/>
  <c r="AN495" i="7"/>
  <c r="AM495" i="7"/>
  <c r="AK495" i="7"/>
  <c r="AE495" i="7"/>
  <c r="Y495" i="7"/>
  <c r="AP495" i="7" s="1"/>
  <c r="S495" i="7"/>
  <c r="N495" i="7"/>
  <c r="L495" i="7"/>
  <c r="F495" i="7"/>
  <c r="E495" i="7"/>
  <c r="AN494" i="7"/>
  <c r="AK494" i="7"/>
  <c r="AE494" i="7"/>
  <c r="Y494" i="7"/>
  <c r="S494" i="7"/>
  <c r="L494" i="7" s="1"/>
  <c r="N494" i="7"/>
  <c r="AM494" i="7" s="1"/>
  <c r="F494" i="7"/>
  <c r="E494" i="7"/>
  <c r="AP493" i="7"/>
  <c r="AN493" i="7"/>
  <c r="AM493" i="7"/>
  <c r="AQ493" i="7" s="1"/>
  <c r="AK493" i="7"/>
  <c r="AE493" i="7"/>
  <c r="Y493" i="7"/>
  <c r="S493" i="7"/>
  <c r="N493" i="7"/>
  <c r="L493" i="7"/>
  <c r="F493" i="7"/>
  <c r="E493" i="7"/>
  <c r="AK492" i="7"/>
  <c r="S492" i="7"/>
  <c r="AN492" i="7" s="1"/>
  <c r="AQ492" i="7" s="1"/>
  <c r="R492" i="7"/>
  <c r="Q492" i="7"/>
  <c r="P492" i="7"/>
  <c r="K492" i="7"/>
  <c r="J492" i="7"/>
  <c r="E492" i="7"/>
  <c r="AP491" i="7"/>
  <c r="AN491" i="7"/>
  <c r="AK491" i="7"/>
  <c r="AE491" i="7"/>
  <c r="Y491" i="7"/>
  <c r="S491" i="7"/>
  <c r="N491" i="7"/>
  <c r="AM491" i="7" s="1"/>
  <c r="AQ491" i="7" s="1"/>
  <c r="L491" i="7"/>
  <c r="F491" i="7"/>
  <c r="E491" i="7"/>
  <c r="AP490" i="7"/>
  <c r="AK490" i="7"/>
  <c r="AK480" i="7" s="1"/>
  <c r="S490" i="7"/>
  <c r="N490" i="7"/>
  <c r="AM490" i="7" s="1"/>
  <c r="F490" i="7"/>
  <c r="E490" i="7"/>
  <c r="AN489" i="7"/>
  <c r="AM489" i="7"/>
  <c r="AK489" i="7"/>
  <c r="AE489" i="7"/>
  <c r="Y489" i="7"/>
  <c r="AP489" i="7" s="1"/>
  <c r="S489" i="7"/>
  <c r="L489" i="7" s="1"/>
  <c r="N489" i="7"/>
  <c r="F489" i="7"/>
  <c r="E489" i="7"/>
  <c r="AM488" i="7"/>
  <c r="AK488" i="7"/>
  <c r="AE488" i="7"/>
  <c r="Y488" i="7"/>
  <c r="AP488" i="7" s="1"/>
  <c r="S488" i="7"/>
  <c r="N488" i="7"/>
  <c r="F488" i="7"/>
  <c r="E488" i="7"/>
  <c r="AM487" i="7"/>
  <c r="AK487" i="7"/>
  <c r="AE487" i="7"/>
  <c r="Y487" i="7"/>
  <c r="AP487" i="7" s="1"/>
  <c r="S487" i="7"/>
  <c r="N487" i="7"/>
  <c r="F487" i="7"/>
  <c r="E487" i="7"/>
  <c r="AM486" i="7"/>
  <c r="AK486" i="7"/>
  <c r="AE486" i="7"/>
  <c r="Y486" i="7"/>
  <c r="AP486" i="7" s="1"/>
  <c r="S486" i="7"/>
  <c r="N486" i="7"/>
  <c r="F486" i="7"/>
  <c r="E486" i="7"/>
  <c r="AM485" i="7"/>
  <c r="AK485" i="7"/>
  <c r="AE485" i="7"/>
  <c r="Y485" i="7"/>
  <c r="AP485" i="7" s="1"/>
  <c r="S485" i="7"/>
  <c r="N485" i="7"/>
  <c r="F485" i="7"/>
  <c r="E485" i="7"/>
  <c r="AM484" i="7"/>
  <c r="AK484" i="7"/>
  <c r="AE484" i="7"/>
  <c r="Y484" i="7"/>
  <c r="AP484" i="7" s="1"/>
  <c r="S484" i="7"/>
  <c r="N484" i="7"/>
  <c r="F484" i="7"/>
  <c r="E484" i="7"/>
  <c r="AM483" i="7"/>
  <c r="AK483" i="7"/>
  <c r="AE483" i="7"/>
  <c r="Y483" i="7"/>
  <c r="AP483" i="7" s="1"/>
  <c r="S483" i="7"/>
  <c r="L483" i="7" s="1"/>
  <c r="N483" i="7"/>
  <c r="F483" i="7"/>
  <c r="E483" i="7"/>
  <c r="AM482" i="7"/>
  <c r="AK482" i="7"/>
  <c r="AE482" i="7"/>
  <c r="Y482" i="7"/>
  <c r="AP482" i="7" s="1"/>
  <c r="S482" i="7"/>
  <c r="N482" i="7"/>
  <c r="F482" i="7"/>
  <c r="E482" i="7"/>
  <c r="AN481" i="7"/>
  <c r="AM481" i="7"/>
  <c r="AK481" i="7"/>
  <c r="AE481" i="7"/>
  <c r="Y481" i="7"/>
  <c r="S481" i="7"/>
  <c r="N481" i="7"/>
  <c r="F481" i="7"/>
  <c r="E481" i="7"/>
  <c r="AE480" i="7"/>
  <c r="R480" i="7"/>
  <c r="Q480" i="7"/>
  <c r="P480" i="7"/>
  <c r="K480" i="7"/>
  <c r="J480" i="7"/>
  <c r="E480" i="7"/>
  <c r="AP479" i="7"/>
  <c r="AN479" i="7"/>
  <c r="AM479" i="7"/>
  <c r="AQ479" i="7" s="1"/>
  <c r="AK479" i="7"/>
  <c r="AE479" i="7"/>
  <c r="Y479" i="7"/>
  <c r="S479" i="7"/>
  <c r="N479" i="7"/>
  <c r="L479" i="7"/>
  <c r="F479" i="7"/>
  <c r="E479" i="7"/>
  <c r="AZ478" i="7"/>
  <c r="AX478" i="7"/>
  <c r="AV478" i="7"/>
  <c r="AM478" i="7"/>
  <c r="AK478" i="7"/>
  <c r="AE478" i="7"/>
  <c r="Y478" i="7"/>
  <c r="AP478" i="7" s="1"/>
  <c r="S478" i="7"/>
  <c r="N478" i="7"/>
  <c r="F478" i="7"/>
  <c r="E478" i="7"/>
  <c r="AM477" i="7"/>
  <c r="AK477" i="7"/>
  <c r="AE477" i="7"/>
  <c r="Y477" i="7"/>
  <c r="AP477" i="7" s="1"/>
  <c r="S477" i="7"/>
  <c r="N477" i="7"/>
  <c r="F477" i="7"/>
  <c r="E477" i="7"/>
  <c r="AM476" i="7"/>
  <c r="AK476" i="7"/>
  <c r="AE476" i="7"/>
  <c r="Y476" i="7"/>
  <c r="AP476" i="7" s="1"/>
  <c r="S476" i="7"/>
  <c r="L476" i="7" s="1"/>
  <c r="N476" i="7"/>
  <c r="F476" i="7"/>
  <c r="E476" i="7"/>
  <c r="AZ475" i="7"/>
  <c r="AX475" i="7"/>
  <c r="AV475" i="7"/>
  <c r="AP475" i="7"/>
  <c r="AK475" i="7"/>
  <c r="AE475" i="7"/>
  <c r="Y475" i="7"/>
  <c r="S475" i="7"/>
  <c r="N475" i="7"/>
  <c r="AM475" i="7" s="1"/>
  <c r="F475" i="7"/>
  <c r="E475" i="7"/>
  <c r="AP474" i="7"/>
  <c r="AK474" i="7"/>
  <c r="AK473" i="7" s="1"/>
  <c r="AE474" i="7"/>
  <c r="Y474" i="7"/>
  <c r="S474" i="7"/>
  <c r="N474" i="7"/>
  <c r="AM474" i="7" s="1"/>
  <c r="F474" i="7"/>
  <c r="E474" i="7"/>
  <c r="AE473" i="7"/>
  <c r="Y473" i="7"/>
  <c r="R473" i="7"/>
  <c r="Q473" i="7"/>
  <c r="P473" i="7"/>
  <c r="K473" i="7"/>
  <c r="J473" i="7"/>
  <c r="E473" i="7"/>
  <c r="AM472" i="7"/>
  <c r="AK472" i="7"/>
  <c r="AE472" i="7"/>
  <c r="Y472" i="7"/>
  <c r="AP472" i="7" s="1"/>
  <c r="S472" i="7"/>
  <c r="N472" i="7"/>
  <c r="F472" i="7"/>
  <c r="E472" i="7"/>
  <c r="AM471" i="7"/>
  <c r="AK471" i="7"/>
  <c r="AE471" i="7"/>
  <c r="Y471" i="7"/>
  <c r="AP471" i="7" s="1"/>
  <c r="S471" i="7"/>
  <c r="L471" i="7" s="1"/>
  <c r="N471" i="7"/>
  <c r="F471" i="7"/>
  <c r="E471" i="7"/>
  <c r="AZ470" i="7"/>
  <c r="AX470" i="7"/>
  <c r="AV470" i="7"/>
  <c r="AP470" i="7"/>
  <c r="AK470" i="7"/>
  <c r="AE470" i="7"/>
  <c r="Y470" i="7"/>
  <c r="S470" i="7"/>
  <c r="L470" i="7" s="1"/>
  <c r="N470" i="7"/>
  <c r="AM470" i="7" s="1"/>
  <c r="F470" i="7"/>
  <c r="E470" i="7"/>
  <c r="AP469" i="7"/>
  <c r="AK469" i="7"/>
  <c r="AE469" i="7"/>
  <c r="Y469" i="7"/>
  <c r="S469" i="7"/>
  <c r="N469" i="7"/>
  <c r="AM469" i="7" s="1"/>
  <c r="F469" i="7"/>
  <c r="E469" i="7"/>
  <c r="AK468" i="7"/>
  <c r="AE468" i="7"/>
  <c r="Y468" i="7"/>
  <c r="AP468" i="7" s="1"/>
  <c r="S468" i="7"/>
  <c r="L468" i="7" s="1"/>
  <c r="N468" i="7"/>
  <c r="AM468" i="7" s="1"/>
  <c r="F468" i="7"/>
  <c r="E468" i="7"/>
  <c r="AP467" i="7"/>
  <c r="AK467" i="7"/>
  <c r="AE467" i="7"/>
  <c r="Y467" i="7"/>
  <c r="S467" i="7"/>
  <c r="AN467" i="7" s="1"/>
  <c r="AQ467" i="7" s="1"/>
  <c r="N467" i="7"/>
  <c r="AM467" i="7" s="1"/>
  <c r="F467" i="7"/>
  <c r="E467" i="7"/>
  <c r="AZ466" i="7"/>
  <c r="AX466" i="7"/>
  <c r="AV466" i="7"/>
  <c r="AN466" i="7"/>
  <c r="AK466" i="7"/>
  <c r="AE466" i="7"/>
  <c r="AP466" i="7" s="1"/>
  <c r="Y466" i="7"/>
  <c r="S466" i="7"/>
  <c r="N466" i="7"/>
  <c r="AM466" i="7" s="1"/>
  <c r="AQ466" i="7" s="1"/>
  <c r="L466" i="7"/>
  <c r="F466" i="7"/>
  <c r="E466" i="7"/>
  <c r="AK465" i="7"/>
  <c r="AE465" i="7"/>
  <c r="Y465" i="7"/>
  <c r="AP465" i="7" s="1"/>
  <c r="S465" i="7"/>
  <c r="AN465" i="7" s="1"/>
  <c r="N465" i="7"/>
  <c r="AM465" i="7" s="1"/>
  <c r="L465" i="7"/>
  <c r="F465" i="7"/>
  <c r="E465" i="7"/>
  <c r="AN464" i="7"/>
  <c r="AQ464" i="7" s="1"/>
  <c r="AK464" i="7"/>
  <c r="AE464" i="7"/>
  <c r="AP464" i="7" s="1"/>
  <c r="Y464" i="7"/>
  <c r="S464" i="7"/>
  <c r="N464" i="7"/>
  <c r="AM464" i="7" s="1"/>
  <c r="L464" i="7"/>
  <c r="F464" i="7"/>
  <c r="E464" i="7"/>
  <c r="AP463" i="7"/>
  <c r="AK463" i="7"/>
  <c r="AE463" i="7"/>
  <c r="Y463" i="7"/>
  <c r="S463" i="7"/>
  <c r="AN463" i="7" s="1"/>
  <c r="N463" i="7"/>
  <c r="AM463" i="7" s="1"/>
  <c r="L463" i="7"/>
  <c r="F463" i="7"/>
  <c r="E463" i="7"/>
  <c r="AN462" i="7"/>
  <c r="AK462" i="7"/>
  <c r="AE462" i="7"/>
  <c r="Y462" i="7"/>
  <c r="S462" i="7"/>
  <c r="N462" i="7"/>
  <c r="AM462" i="7" s="1"/>
  <c r="F462" i="7"/>
  <c r="E462" i="7"/>
  <c r="AK461" i="7"/>
  <c r="AE461" i="7"/>
  <c r="Y461" i="7"/>
  <c r="AP461" i="7" s="1"/>
  <c r="S461" i="7"/>
  <c r="AN461" i="7" s="1"/>
  <c r="N461" i="7"/>
  <c r="AM461" i="7" s="1"/>
  <c r="L461" i="7"/>
  <c r="F461" i="7"/>
  <c r="E461" i="7"/>
  <c r="AZ460" i="7"/>
  <c r="AX460" i="7"/>
  <c r="AV460" i="7"/>
  <c r="AM460" i="7"/>
  <c r="AK460" i="7"/>
  <c r="AE460" i="7"/>
  <c r="Y460" i="7"/>
  <c r="AP460" i="7" s="1"/>
  <c r="S460" i="7"/>
  <c r="L460" i="7" s="1"/>
  <c r="N460" i="7"/>
  <c r="F460" i="7"/>
  <c r="E460" i="7"/>
  <c r="AP459" i="7"/>
  <c r="AN459" i="7"/>
  <c r="AM459" i="7"/>
  <c r="AK459" i="7"/>
  <c r="AE459" i="7"/>
  <c r="Y459" i="7"/>
  <c r="S459" i="7"/>
  <c r="N459" i="7"/>
  <c r="L459" i="7"/>
  <c r="F459" i="7"/>
  <c r="E459" i="7"/>
  <c r="AZ458" i="7"/>
  <c r="AX458" i="7"/>
  <c r="AV458" i="7"/>
  <c r="AN458" i="7"/>
  <c r="AM458" i="7"/>
  <c r="AK458" i="7"/>
  <c r="AE458" i="7"/>
  <c r="Y458" i="7"/>
  <c r="AP458" i="7" s="1"/>
  <c r="S458" i="7"/>
  <c r="L458" i="7" s="1"/>
  <c r="N458" i="7"/>
  <c r="F458" i="7"/>
  <c r="E458" i="7"/>
  <c r="AZ457" i="7"/>
  <c r="AX457" i="7"/>
  <c r="AV457" i="7"/>
  <c r="AP457" i="7"/>
  <c r="AM457" i="7"/>
  <c r="AK457" i="7"/>
  <c r="AE457" i="7"/>
  <c r="AE455" i="7" s="1"/>
  <c r="Y457" i="7"/>
  <c r="S457" i="7"/>
  <c r="L457" i="7" s="1"/>
  <c r="N457" i="7"/>
  <c r="F457" i="7"/>
  <c r="E457" i="7"/>
  <c r="AZ456" i="7"/>
  <c r="AX456" i="7"/>
  <c r="AV456" i="7"/>
  <c r="AP456" i="7"/>
  <c r="AN456" i="7"/>
  <c r="AK456" i="7"/>
  <c r="AE456" i="7"/>
  <c r="Y456" i="7"/>
  <c r="S456" i="7"/>
  <c r="N456" i="7"/>
  <c r="AM456" i="7" s="1"/>
  <c r="L456" i="7"/>
  <c r="F456" i="7"/>
  <c r="E456" i="7"/>
  <c r="T455" i="7"/>
  <c r="R455" i="7"/>
  <c r="Q455" i="7"/>
  <c r="P455" i="7"/>
  <c r="K455" i="7"/>
  <c r="J455" i="7"/>
  <c r="E455" i="7"/>
  <c r="AZ454" i="7"/>
  <c r="AX454" i="7"/>
  <c r="AV454" i="7"/>
  <c r="AN454" i="7"/>
  <c r="AK454" i="7"/>
  <c r="AE454" i="7"/>
  <c r="Y454" i="7"/>
  <c r="S454" i="7"/>
  <c r="N454" i="7"/>
  <c r="AM454" i="7" s="1"/>
  <c r="F454" i="7"/>
  <c r="E454" i="7"/>
  <c r="AN453" i="7"/>
  <c r="AK453" i="7"/>
  <c r="AE453" i="7"/>
  <c r="Y453" i="7"/>
  <c r="S453" i="7"/>
  <c r="N453" i="7"/>
  <c r="AM453" i="7" s="1"/>
  <c r="F453" i="7"/>
  <c r="E453" i="7"/>
  <c r="AP452" i="7"/>
  <c r="AN452" i="7"/>
  <c r="AK452" i="7"/>
  <c r="AE452" i="7"/>
  <c r="Y452" i="7"/>
  <c r="S452" i="7"/>
  <c r="N452" i="7"/>
  <c r="AM452" i="7" s="1"/>
  <c r="L452" i="7"/>
  <c r="F452" i="7"/>
  <c r="E452" i="7"/>
  <c r="AZ451" i="7"/>
  <c r="AX451" i="7"/>
  <c r="AV451" i="7"/>
  <c r="AN451" i="7"/>
  <c r="AM451" i="7"/>
  <c r="AK451" i="7"/>
  <c r="AE451" i="7"/>
  <c r="L451" i="7" s="1"/>
  <c r="Y451" i="7"/>
  <c r="AP451" i="7" s="1"/>
  <c r="S451" i="7"/>
  <c r="N451" i="7"/>
  <c r="F451" i="7"/>
  <c r="E451" i="7"/>
  <c r="AP450" i="7"/>
  <c r="AM450" i="7"/>
  <c r="AK450" i="7"/>
  <c r="AE450" i="7"/>
  <c r="Y450" i="7"/>
  <c r="S450" i="7"/>
  <c r="L450" i="7" s="1"/>
  <c r="N450" i="7"/>
  <c r="F450" i="7"/>
  <c r="E450" i="7"/>
  <c r="AZ449" i="7"/>
  <c r="AX449" i="7"/>
  <c r="AV449" i="7"/>
  <c r="AM449" i="7"/>
  <c r="AK449" i="7"/>
  <c r="AE449" i="7"/>
  <c r="Y449" i="7"/>
  <c r="AP449" i="7" s="1"/>
  <c r="S449" i="7"/>
  <c r="L449" i="7" s="1"/>
  <c r="N449" i="7"/>
  <c r="F449" i="7"/>
  <c r="E449" i="7"/>
  <c r="AZ448" i="7"/>
  <c r="AX448" i="7"/>
  <c r="AV448" i="7"/>
  <c r="AK448" i="7"/>
  <c r="AE448" i="7"/>
  <c r="L448" i="7" s="1"/>
  <c r="AD448" i="7"/>
  <c r="Y448" i="7"/>
  <c r="AP448" i="7" s="1"/>
  <c r="S448" i="7"/>
  <c r="AN448" i="7" s="1"/>
  <c r="N448" i="7"/>
  <c r="AM448" i="7" s="1"/>
  <c r="F448" i="7"/>
  <c r="E448" i="7"/>
  <c r="AZ447" i="7"/>
  <c r="AX447" i="7"/>
  <c r="AV447" i="7"/>
  <c r="AP447" i="7"/>
  <c r="AK447" i="7"/>
  <c r="AE447" i="7"/>
  <c r="Y447" i="7"/>
  <c r="S447" i="7"/>
  <c r="AN447" i="7" s="1"/>
  <c r="N447" i="7"/>
  <c r="AM447" i="7" s="1"/>
  <c r="AQ447" i="7" s="1"/>
  <c r="L447" i="7"/>
  <c r="F447" i="7"/>
  <c r="E447" i="7"/>
  <c r="AZ446" i="7"/>
  <c r="AX446" i="7"/>
  <c r="AV446" i="7"/>
  <c r="AP446" i="7"/>
  <c r="AN446" i="7"/>
  <c r="AK446" i="7"/>
  <c r="AE446" i="7"/>
  <c r="Y446" i="7"/>
  <c r="S446" i="7"/>
  <c r="N446" i="7"/>
  <c r="AM446" i="7" s="1"/>
  <c r="L446" i="7"/>
  <c r="F446" i="7"/>
  <c r="E446" i="7"/>
  <c r="AN445" i="7"/>
  <c r="AK445" i="7"/>
  <c r="AE445" i="7"/>
  <c r="AP445" i="7" s="1"/>
  <c r="Y445" i="7"/>
  <c r="S445" i="7"/>
  <c r="N445" i="7"/>
  <c r="AM445" i="7" s="1"/>
  <c r="L445" i="7"/>
  <c r="F445" i="7"/>
  <c r="E445" i="7"/>
  <c r="AP444" i="7"/>
  <c r="AN444" i="7"/>
  <c r="AK444" i="7"/>
  <c r="AE444" i="7"/>
  <c r="Y444" i="7"/>
  <c r="S444" i="7"/>
  <c r="N444" i="7"/>
  <c r="AM444" i="7" s="1"/>
  <c r="AQ444" i="7" s="1"/>
  <c r="L444" i="7"/>
  <c r="F444" i="7"/>
  <c r="E444" i="7"/>
  <c r="AZ443" i="7"/>
  <c r="AX443" i="7"/>
  <c r="AV443" i="7"/>
  <c r="AN443" i="7"/>
  <c r="AM443" i="7"/>
  <c r="AK443" i="7"/>
  <c r="AE443" i="7"/>
  <c r="Y443" i="7"/>
  <c r="S443" i="7"/>
  <c r="N443" i="7"/>
  <c r="F443" i="7"/>
  <c r="E443" i="7"/>
  <c r="AP442" i="7"/>
  <c r="AM442" i="7"/>
  <c r="AK442" i="7"/>
  <c r="AE442" i="7"/>
  <c r="Y442" i="7"/>
  <c r="S442" i="7"/>
  <c r="AN442" i="7" s="1"/>
  <c r="N442" i="7"/>
  <c r="L442" i="7"/>
  <c r="F442" i="7"/>
  <c r="E442" i="7"/>
  <c r="AZ441" i="7"/>
  <c r="AX441" i="7"/>
  <c r="AV441" i="7"/>
  <c r="AM441" i="7"/>
  <c r="AK441" i="7"/>
  <c r="AE441" i="7"/>
  <c r="Y441" i="7"/>
  <c r="S441" i="7"/>
  <c r="AN441" i="7" s="1"/>
  <c r="N441" i="7"/>
  <c r="F441" i="7"/>
  <c r="E441" i="7"/>
  <c r="AZ440" i="7"/>
  <c r="AX440" i="7"/>
  <c r="AV440" i="7"/>
  <c r="AQ440" i="7"/>
  <c r="AP440" i="7"/>
  <c r="AK440" i="7"/>
  <c r="AE440" i="7"/>
  <c r="Y440" i="7"/>
  <c r="S440" i="7"/>
  <c r="AN440" i="7" s="1"/>
  <c r="N440" i="7"/>
  <c r="AM440" i="7" s="1"/>
  <c r="L440" i="7"/>
  <c r="F440" i="7"/>
  <c r="E440" i="7"/>
  <c r="AK439" i="7"/>
  <c r="AE439" i="7"/>
  <c r="AP439" i="7" s="1"/>
  <c r="Y439" i="7"/>
  <c r="S439" i="7"/>
  <c r="N439" i="7"/>
  <c r="AM439" i="7" s="1"/>
  <c r="F439" i="7"/>
  <c r="E439" i="7"/>
  <c r="AP438" i="7"/>
  <c r="AK438" i="7"/>
  <c r="AE438" i="7"/>
  <c r="Y438" i="7"/>
  <c r="S438" i="7"/>
  <c r="AN438" i="7" s="1"/>
  <c r="N438" i="7"/>
  <c r="AM438" i="7" s="1"/>
  <c r="F438" i="7"/>
  <c r="E438" i="7"/>
  <c r="AZ437" i="7"/>
  <c r="AX437" i="7"/>
  <c r="AV437" i="7"/>
  <c r="AP437" i="7"/>
  <c r="AN437" i="7"/>
  <c r="AK437" i="7"/>
  <c r="AE437" i="7"/>
  <c r="Y437" i="7"/>
  <c r="S437" i="7"/>
  <c r="N437" i="7"/>
  <c r="AM437" i="7" s="1"/>
  <c r="AQ437" i="7" s="1"/>
  <c r="L437" i="7"/>
  <c r="F437" i="7"/>
  <c r="E437" i="7"/>
  <c r="AZ436" i="7"/>
  <c r="AX436" i="7"/>
  <c r="AV436" i="7"/>
  <c r="AN436" i="7"/>
  <c r="AK436" i="7"/>
  <c r="AD436" i="7"/>
  <c r="Y436" i="7"/>
  <c r="S436" i="7"/>
  <c r="N436" i="7"/>
  <c r="AM436" i="7" s="1"/>
  <c r="F436" i="7"/>
  <c r="E436" i="7"/>
  <c r="AP435" i="7"/>
  <c r="AK435" i="7"/>
  <c r="AE435" i="7"/>
  <c r="Y435" i="7"/>
  <c r="S435" i="7"/>
  <c r="AN435" i="7" s="1"/>
  <c r="N435" i="7"/>
  <c r="AM435" i="7" s="1"/>
  <c r="L435" i="7"/>
  <c r="F435" i="7"/>
  <c r="E435" i="7"/>
  <c r="AP434" i="7"/>
  <c r="AN434" i="7"/>
  <c r="AK434" i="7"/>
  <c r="AE434" i="7"/>
  <c r="Y434" i="7"/>
  <c r="S434" i="7"/>
  <c r="N434" i="7"/>
  <c r="AM434" i="7" s="1"/>
  <c r="AQ434" i="7" s="1"/>
  <c r="L434" i="7"/>
  <c r="F434" i="7"/>
  <c r="E434" i="7"/>
  <c r="AZ433" i="7"/>
  <c r="AX433" i="7"/>
  <c r="AV433" i="7"/>
  <c r="AN433" i="7"/>
  <c r="AM433" i="7"/>
  <c r="AK433" i="7"/>
  <c r="AE433" i="7"/>
  <c r="Y433" i="7"/>
  <c r="S433" i="7"/>
  <c r="N433" i="7"/>
  <c r="L433" i="7"/>
  <c r="F433" i="7"/>
  <c r="E433" i="7"/>
  <c r="AZ432" i="7"/>
  <c r="AX432" i="7"/>
  <c r="AV432" i="7"/>
  <c r="AM432" i="7"/>
  <c r="AK432" i="7"/>
  <c r="AE432" i="7"/>
  <c r="L432" i="7" s="1"/>
  <c r="Y432" i="7"/>
  <c r="AP432" i="7" s="1"/>
  <c r="S432" i="7"/>
  <c r="AN432" i="7" s="1"/>
  <c r="N432" i="7"/>
  <c r="F432" i="7"/>
  <c r="E432" i="7"/>
  <c r="AZ431" i="7"/>
  <c r="AX431" i="7"/>
  <c r="AV431" i="7"/>
  <c r="AM431" i="7"/>
  <c r="AK431" i="7"/>
  <c r="AE431" i="7"/>
  <c r="L431" i="7" s="1"/>
  <c r="Y431" i="7"/>
  <c r="S431" i="7"/>
  <c r="AN431" i="7" s="1"/>
  <c r="N431" i="7"/>
  <c r="F431" i="7"/>
  <c r="E431" i="7"/>
  <c r="AK430" i="7"/>
  <c r="AC430" i="7"/>
  <c r="AB430" i="7"/>
  <c r="X430" i="7"/>
  <c r="W430" i="7"/>
  <c r="V430" i="7"/>
  <c r="U430" i="7"/>
  <c r="T430" i="7"/>
  <c r="S430" i="7"/>
  <c r="R430" i="7"/>
  <c r="Q430" i="7"/>
  <c r="P430" i="7"/>
  <c r="K430" i="7"/>
  <c r="J430" i="7"/>
  <c r="E430" i="7"/>
  <c r="AZ429" i="7"/>
  <c r="AX429" i="7"/>
  <c r="AV429" i="7"/>
  <c r="AN429" i="7"/>
  <c r="AM429" i="7"/>
  <c r="AK429" i="7"/>
  <c r="AE429" i="7"/>
  <c r="Y429" i="7"/>
  <c r="S429" i="7"/>
  <c r="N429" i="7"/>
  <c r="F429" i="7"/>
  <c r="E429" i="7"/>
  <c r="AN428" i="7"/>
  <c r="AK428" i="7"/>
  <c r="AE428" i="7"/>
  <c r="Y428" i="7"/>
  <c r="AP428" i="7" s="1"/>
  <c r="S428" i="7"/>
  <c r="N428" i="7"/>
  <c r="AM428" i="7" s="1"/>
  <c r="L428" i="7"/>
  <c r="F428" i="7"/>
  <c r="E428" i="7"/>
  <c r="AZ427" i="7"/>
  <c r="AX427" i="7"/>
  <c r="AV427" i="7"/>
  <c r="AM427" i="7"/>
  <c r="AQ427" i="7" s="1"/>
  <c r="AK427" i="7"/>
  <c r="AE427" i="7"/>
  <c r="Y427" i="7"/>
  <c r="AP427" i="7" s="1"/>
  <c r="S427" i="7"/>
  <c r="AN427" i="7" s="1"/>
  <c r="N427" i="7"/>
  <c r="F427" i="7"/>
  <c r="E427" i="7"/>
  <c r="AZ426" i="7"/>
  <c r="AX426" i="7"/>
  <c r="AV426" i="7"/>
  <c r="AP426" i="7"/>
  <c r="AK426" i="7"/>
  <c r="AE426" i="7"/>
  <c r="Y426" i="7"/>
  <c r="S426" i="7"/>
  <c r="AN426" i="7" s="1"/>
  <c r="N426" i="7"/>
  <c r="AM426" i="7" s="1"/>
  <c r="AQ426" i="7" s="1"/>
  <c r="L426" i="7"/>
  <c r="F426" i="7"/>
  <c r="E426" i="7"/>
  <c r="AP425" i="7"/>
  <c r="AM425" i="7"/>
  <c r="AK425" i="7"/>
  <c r="S425" i="7"/>
  <c r="N425" i="7"/>
  <c r="F425" i="7"/>
  <c r="E425" i="7"/>
  <c r="AN424" i="7"/>
  <c r="AM424" i="7"/>
  <c r="AK424" i="7"/>
  <c r="AE424" i="7"/>
  <c r="AE423" i="7" s="1"/>
  <c r="Y424" i="7"/>
  <c r="AP424" i="7" s="1"/>
  <c r="S424" i="7"/>
  <c r="N424" i="7"/>
  <c r="L424" i="7"/>
  <c r="F424" i="7"/>
  <c r="E424" i="7"/>
  <c r="AK423" i="7"/>
  <c r="R423" i="7"/>
  <c r="Q423" i="7"/>
  <c r="P423" i="7"/>
  <c r="K423" i="7"/>
  <c r="J423" i="7"/>
  <c r="E423" i="7"/>
  <c r="AN422" i="7"/>
  <c r="AK422" i="7"/>
  <c r="AE422" i="7"/>
  <c r="AP422" i="7" s="1"/>
  <c r="Y422" i="7"/>
  <c r="S422" i="7"/>
  <c r="N422" i="7"/>
  <c r="AM422" i="7" s="1"/>
  <c r="L422" i="7"/>
  <c r="F422" i="7"/>
  <c r="E422" i="7"/>
  <c r="AP421" i="7"/>
  <c r="AK421" i="7"/>
  <c r="AE421" i="7"/>
  <c r="Y421" i="7"/>
  <c r="S421" i="7"/>
  <c r="AN421" i="7" s="1"/>
  <c r="N421" i="7"/>
  <c r="AM421" i="7" s="1"/>
  <c r="F421" i="7"/>
  <c r="E421" i="7"/>
  <c r="AZ420" i="7"/>
  <c r="AX420" i="7"/>
  <c r="AV420" i="7"/>
  <c r="AP420" i="7"/>
  <c r="AK420" i="7"/>
  <c r="AE420" i="7"/>
  <c r="Y420" i="7"/>
  <c r="S420" i="7"/>
  <c r="N420" i="7"/>
  <c r="AM420" i="7" s="1"/>
  <c r="F420" i="7"/>
  <c r="E420" i="7"/>
  <c r="AN419" i="7"/>
  <c r="AM419" i="7"/>
  <c r="AK419" i="7"/>
  <c r="AE419" i="7"/>
  <c r="Y419" i="7"/>
  <c r="AP419" i="7" s="1"/>
  <c r="S419" i="7"/>
  <c r="N419" i="7"/>
  <c r="F419" i="7"/>
  <c r="E419" i="7"/>
  <c r="AZ418" i="7"/>
  <c r="AX418" i="7"/>
  <c r="AV418" i="7"/>
  <c r="AM418" i="7"/>
  <c r="AK418" i="7"/>
  <c r="AE418" i="7"/>
  <c r="Y418" i="7"/>
  <c r="AP418" i="7" s="1"/>
  <c r="S418" i="7"/>
  <c r="N418" i="7"/>
  <c r="F418" i="7"/>
  <c r="E418" i="7"/>
  <c r="AZ417" i="7"/>
  <c r="AX417" i="7"/>
  <c r="AV417" i="7"/>
  <c r="AM417" i="7"/>
  <c r="AK417" i="7"/>
  <c r="AE417" i="7"/>
  <c r="Y417" i="7"/>
  <c r="AP417" i="7" s="1"/>
  <c r="S417" i="7"/>
  <c r="N417" i="7"/>
  <c r="F417" i="7"/>
  <c r="E417" i="7"/>
  <c r="AZ416" i="7"/>
  <c r="AX416" i="7"/>
  <c r="AV416" i="7"/>
  <c r="AM416" i="7"/>
  <c r="AK416" i="7"/>
  <c r="AE416" i="7"/>
  <c r="Y416" i="7"/>
  <c r="AP416" i="7" s="1"/>
  <c r="S416" i="7"/>
  <c r="L416" i="7" s="1"/>
  <c r="N416" i="7"/>
  <c r="F416" i="7"/>
  <c r="E416" i="7"/>
  <c r="AZ415" i="7"/>
  <c r="AX415" i="7"/>
  <c r="AV415" i="7"/>
  <c r="AK415" i="7"/>
  <c r="AE415" i="7"/>
  <c r="Y415" i="7"/>
  <c r="AP415" i="7" s="1"/>
  <c r="S415" i="7"/>
  <c r="S409" i="7" s="1"/>
  <c r="N415" i="7"/>
  <c r="AM415" i="7" s="1"/>
  <c r="F415" i="7"/>
  <c r="E415" i="7"/>
  <c r="AN414" i="7"/>
  <c r="AM414" i="7"/>
  <c r="AK414" i="7"/>
  <c r="AE414" i="7"/>
  <c r="Y414" i="7"/>
  <c r="AP414" i="7" s="1"/>
  <c r="S414" i="7"/>
  <c r="N414" i="7"/>
  <c r="L414" i="7"/>
  <c r="F414" i="7"/>
  <c r="E414" i="7"/>
  <c r="AK413" i="7"/>
  <c r="AE413" i="7"/>
  <c r="Y413" i="7"/>
  <c r="S413" i="7"/>
  <c r="N413" i="7"/>
  <c r="AM413" i="7" s="1"/>
  <c r="F413" i="7"/>
  <c r="E413" i="7"/>
  <c r="AN412" i="7"/>
  <c r="AK412" i="7"/>
  <c r="AE412" i="7"/>
  <c r="Y412" i="7"/>
  <c r="AP412" i="7" s="1"/>
  <c r="S412" i="7"/>
  <c r="N412" i="7"/>
  <c r="AM412" i="7" s="1"/>
  <c r="AQ412" i="7" s="1"/>
  <c r="F412" i="7"/>
  <c r="E412" i="7"/>
  <c r="AK411" i="7"/>
  <c r="AE411" i="7"/>
  <c r="Y411" i="7"/>
  <c r="AP411" i="7" s="1"/>
  <c r="S411" i="7"/>
  <c r="N411" i="7"/>
  <c r="AM411" i="7" s="1"/>
  <c r="F411" i="7"/>
  <c r="E411" i="7"/>
  <c r="AN410" i="7"/>
  <c r="AK410" i="7"/>
  <c r="AE410" i="7"/>
  <c r="Y410" i="7"/>
  <c r="AP410" i="7" s="1"/>
  <c r="S410" i="7"/>
  <c r="N410" i="7"/>
  <c r="AM410" i="7" s="1"/>
  <c r="AQ410" i="7" s="1"/>
  <c r="F410" i="7"/>
  <c r="E410" i="7"/>
  <c r="T409" i="7"/>
  <c r="R409" i="7"/>
  <c r="Q409" i="7"/>
  <c r="P409" i="7"/>
  <c r="K409" i="7"/>
  <c r="J409" i="7"/>
  <c r="E409" i="7"/>
  <c r="AN408" i="7"/>
  <c r="AK408" i="7"/>
  <c r="AE408" i="7"/>
  <c r="Y408" i="7"/>
  <c r="AP408" i="7" s="1"/>
  <c r="S408" i="7"/>
  <c r="L408" i="7" s="1"/>
  <c r="N408" i="7"/>
  <c r="AM408" i="7" s="1"/>
  <c r="AQ408" i="7" s="1"/>
  <c r="F408" i="7"/>
  <c r="E408" i="7"/>
  <c r="AK407" i="7"/>
  <c r="AE407" i="7"/>
  <c r="Y407" i="7"/>
  <c r="AP407" i="7" s="1"/>
  <c r="S407" i="7"/>
  <c r="N407" i="7"/>
  <c r="AM407" i="7" s="1"/>
  <c r="F407" i="7"/>
  <c r="E407" i="7"/>
  <c r="AZ406" i="7"/>
  <c r="AX406" i="7"/>
  <c r="AV406" i="7"/>
  <c r="AK406" i="7"/>
  <c r="AE406" i="7"/>
  <c r="Y406" i="7"/>
  <c r="S406" i="7"/>
  <c r="AN406" i="7" s="1"/>
  <c r="N406" i="7"/>
  <c r="AM406" i="7" s="1"/>
  <c r="F406" i="7"/>
  <c r="E406" i="7"/>
  <c r="AP405" i="7"/>
  <c r="AM405" i="7"/>
  <c r="AK405" i="7"/>
  <c r="AE405" i="7"/>
  <c r="Y405" i="7"/>
  <c r="S405" i="7"/>
  <c r="AN405" i="7" s="1"/>
  <c r="N405" i="7"/>
  <c r="L405" i="7"/>
  <c r="F405" i="7"/>
  <c r="E405" i="7"/>
  <c r="AK404" i="7"/>
  <c r="AE404" i="7"/>
  <c r="AP404" i="7" s="1"/>
  <c r="Y404" i="7"/>
  <c r="S404" i="7"/>
  <c r="N404" i="7"/>
  <c r="AM404" i="7" s="1"/>
  <c r="F404" i="7"/>
  <c r="E404" i="7"/>
  <c r="AP403" i="7"/>
  <c r="AM403" i="7"/>
  <c r="AK403" i="7"/>
  <c r="AE403" i="7"/>
  <c r="Y403" i="7"/>
  <c r="S403" i="7"/>
  <c r="AN403" i="7" s="1"/>
  <c r="N403" i="7"/>
  <c r="L403" i="7"/>
  <c r="F403" i="7"/>
  <c r="E403" i="7"/>
  <c r="AK402" i="7"/>
  <c r="AE402" i="7"/>
  <c r="AP402" i="7" s="1"/>
  <c r="Y402" i="7"/>
  <c r="S402" i="7"/>
  <c r="N402" i="7"/>
  <c r="AM402" i="7" s="1"/>
  <c r="F402" i="7"/>
  <c r="E402" i="7"/>
  <c r="AP401" i="7"/>
  <c r="AM401" i="7"/>
  <c r="AK401" i="7"/>
  <c r="AE401" i="7"/>
  <c r="Y401" i="7"/>
  <c r="S401" i="7"/>
  <c r="AN401" i="7" s="1"/>
  <c r="N401" i="7"/>
  <c r="L401" i="7"/>
  <c r="F401" i="7"/>
  <c r="E401" i="7"/>
  <c r="AK400" i="7"/>
  <c r="AE400" i="7"/>
  <c r="AP400" i="7" s="1"/>
  <c r="Y400" i="7"/>
  <c r="S400" i="7"/>
  <c r="N400" i="7"/>
  <c r="AM400" i="7" s="1"/>
  <c r="F400" i="7"/>
  <c r="E400" i="7"/>
  <c r="AK399" i="7"/>
  <c r="F399" i="7"/>
  <c r="E399" i="7"/>
  <c r="AP398" i="7"/>
  <c r="AN398" i="7"/>
  <c r="AK398" i="7"/>
  <c r="AE398" i="7"/>
  <c r="Y398" i="7"/>
  <c r="S398" i="7"/>
  <c r="N398" i="7"/>
  <c r="AM398" i="7" s="1"/>
  <c r="AQ398" i="7" s="1"/>
  <c r="L398" i="7"/>
  <c r="F398" i="7"/>
  <c r="E398" i="7"/>
  <c r="AZ397" i="7"/>
  <c r="AX397" i="7"/>
  <c r="AV397" i="7"/>
  <c r="AP397" i="7"/>
  <c r="AN397" i="7"/>
  <c r="AM397" i="7"/>
  <c r="AK397" i="7"/>
  <c r="AE397" i="7"/>
  <c r="Y397" i="7"/>
  <c r="S397" i="7"/>
  <c r="N397" i="7"/>
  <c r="L397" i="7"/>
  <c r="F397" i="7"/>
  <c r="E397" i="7"/>
  <c r="AM396" i="7"/>
  <c r="AK396" i="7"/>
  <c r="AE396" i="7"/>
  <c r="Y396" i="7"/>
  <c r="S396" i="7"/>
  <c r="N396" i="7"/>
  <c r="F396" i="7"/>
  <c r="E396" i="7"/>
  <c r="AZ395" i="7"/>
  <c r="AX395" i="7"/>
  <c r="AV395" i="7"/>
  <c r="AK395" i="7"/>
  <c r="AE395" i="7"/>
  <c r="Y395" i="7"/>
  <c r="S395" i="7"/>
  <c r="N395" i="7"/>
  <c r="AM395" i="7" s="1"/>
  <c r="L395" i="7"/>
  <c r="F395" i="7"/>
  <c r="E395" i="7"/>
  <c r="AN394" i="7"/>
  <c r="AM394" i="7"/>
  <c r="AQ394" i="7" s="1"/>
  <c r="AK394" i="7"/>
  <c r="AE394" i="7"/>
  <c r="Y394" i="7"/>
  <c r="AP394" i="7" s="1"/>
  <c r="S394" i="7"/>
  <c r="N394" i="7"/>
  <c r="F394" i="7"/>
  <c r="E394" i="7"/>
  <c r="R393" i="7"/>
  <c r="Q393" i="7"/>
  <c r="P393" i="7"/>
  <c r="K393" i="7"/>
  <c r="J393" i="7"/>
  <c r="E393" i="7"/>
  <c r="AP392" i="7"/>
  <c r="AM392" i="7"/>
  <c r="AK392" i="7"/>
  <c r="AE392" i="7"/>
  <c r="Y392" i="7"/>
  <c r="S392" i="7"/>
  <c r="AN392" i="7" s="1"/>
  <c r="N392" i="7"/>
  <c r="L392" i="7"/>
  <c r="F392" i="7"/>
  <c r="E392" i="7"/>
  <c r="AK391" i="7"/>
  <c r="AE391" i="7"/>
  <c r="AP391" i="7" s="1"/>
  <c r="Y391" i="7"/>
  <c r="S391" i="7"/>
  <c r="N391" i="7"/>
  <c r="AM391" i="7" s="1"/>
  <c r="F391" i="7"/>
  <c r="E391" i="7"/>
  <c r="AP390" i="7"/>
  <c r="AM390" i="7"/>
  <c r="AK390" i="7"/>
  <c r="AE390" i="7"/>
  <c r="Y390" i="7"/>
  <c r="S390" i="7"/>
  <c r="AN390" i="7" s="1"/>
  <c r="N390" i="7"/>
  <c r="L390" i="7"/>
  <c r="F390" i="7"/>
  <c r="E390" i="7"/>
  <c r="AP389" i="7"/>
  <c r="AK389" i="7"/>
  <c r="AE389" i="7"/>
  <c r="Y389" i="7"/>
  <c r="S389" i="7"/>
  <c r="N389" i="7"/>
  <c r="AM389" i="7" s="1"/>
  <c r="F389" i="7"/>
  <c r="E389" i="7"/>
  <c r="AZ388" i="7"/>
  <c r="AX388" i="7"/>
  <c r="AV388" i="7"/>
  <c r="AN388" i="7"/>
  <c r="AK388" i="7"/>
  <c r="AE388" i="7"/>
  <c r="Y388" i="7"/>
  <c r="AP388" i="7" s="1"/>
  <c r="S388" i="7"/>
  <c r="N388" i="7"/>
  <c r="AM388" i="7" s="1"/>
  <c r="AQ388" i="7" s="1"/>
  <c r="L388" i="7"/>
  <c r="F388" i="7"/>
  <c r="E388" i="7"/>
  <c r="Y387" i="7"/>
  <c r="R387" i="7"/>
  <c r="Q387" i="7"/>
  <c r="P387" i="7"/>
  <c r="K387" i="7"/>
  <c r="J387" i="7"/>
  <c r="E387" i="7"/>
  <c r="AZ386" i="7"/>
  <c r="AX386" i="7"/>
  <c r="AV386" i="7"/>
  <c r="AK386" i="7"/>
  <c r="AE386" i="7"/>
  <c r="Y386" i="7"/>
  <c r="AP386" i="7" s="1"/>
  <c r="S386" i="7"/>
  <c r="N386" i="7"/>
  <c r="AM386" i="7" s="1"/>
  <c r="F386" i="7"/>
  <c r="E386" i="7"/>
  <c r="AN385" i="7"/>
  <c r="AK385" i="7"/>
  <c r="AE385" i="7"/>
  <c r="Y385" i="7"/>
  <c r="AP385" i="7" s="1"/>
  <c r="S385" i="7"/>
  <c r="N385" i="7"/>
  <c r="AM385" i="7" s="1"/>
  <c r="F385" i="7"/>
  <c r="E385" i="7"/>
  <c r="AK384" i="7"/>
  <c r="AE384" i="7"/>
  <c r="Y384" i="7"/>
  <c r="AP384" i="7" s="1"/>
  <c r="S384" i="7"/>
  <c r="N384" i="7"/>
  <c r="AM384" i="7" s="1"/>
  <c r="F384" i="7"/>
  <c r="E384" i="7"/>
  <c r="AN383" i="7"/>
  <c r="AM383" i="7"/>
  <c r="AQ383" i="7" s="1"/>
  <c r="AK383" i="7"/>
  <c r="AE383" i="7"/>
  <c r="Y383" i="7"/>
  <c r="AP383" i="7" s="1"/>
  <c r="S383" i="7"/>
  <c r="N383" i="7"/>
  <c r="F383" i="7"/>
  <c r="E383" i="7"/>
  <c r="AK382" i="7"/>
  <c r="AE382" i="7"/>
  <c r="Y382" i="7"/>
  <c r="AP382" i="7" s="1"/>
  <c r="S382" i="7"/>
  <c r="N382" i="7"/>
  <c r="AM382" i="7" s="1"/>
  <c r="F382" i="7"/>
  <c r="E382" i="7"/>
  <c r="AN381" i="7"/>
  <c r="AM381" i="7"/>
  <c r="AQ381" i="7" s="1"/>
  <c r="AK381" i="7"/>
  <c r="AE381" i="7"/>
  <c r="Y381" i="7"/>
  <c r="AP381" i="7" s="1"/>
  <c r="S381" i="7"/>
  <c r="N381" i="7"/>
  <c r="L381" i="7"/>
  <c r="F381" i="7"/>
  <c r="E381" i="7"/>
  <c r="AZ380" i="7"/>
  <c r="AX380" i="7"/>
  <c r="AV380" i="7"/>
  <c r="AP380" i="7"/>
  <c r="AM380" i="7"/>
  <c r="AK380" i="7"/>
  <c r="AE380" i="7"/>
  <c r="AE376" i="7" s="1"/>
  <c r="Y380" i="7"/>
  <c r="S380" i="7"/>
  <c r="AN380" i="7" s="1"/>
  <c r="N380" i="7"/>
  <c r="F380" i="7"/>
  <c r="E380" i="7"/>
  <c r="AZ379" i="7"/>
  <c r="AX379" i="7"/>
  <c r="AV379" i="7"/>
  <c r="AN379" i="7"/>
  <c r="AK379" i="7"/>
  <c r="AE379" i="7"/>
  <c r="Y379" i="7"/>
  <c r="S379" i="7"/>
  <c r="L379" i="7" s="1"/>
  <c r="N379" i="7"/>
  <c r="AM379" i="7" s="1"/>
  <c r="F379" i="7"/>
  <c r="E379" i="7"/>
  <c r="AN378" i="7"/>
  <c r="AK378" i="7"/>
  <c r="AE378" i="7"/>
  <c r="Y378" i="7"/>
  <c r="S378" i="7"/>
  <c r="N378" i="7"/>
  <c r="AM378" i="7" s="1"/>
  <c r="L378" i="7"/>
  <c r="F378" i="7"/>
  <c r="E378" i="7"/>
  <c r="AN377" i="7"/>
  <c r="AK377" i="7"/>
  <c r="AK376" i="7" s="1"/>
  <c r="AE377" i="7"/>
  <c r="Y377" i="7"/>
  <c r="S377" i="7"/>
  <c r="N377" i="7"/>
  <c r="AM377" i="7" s="1"/>
  <c r="F377" i="7"/>
  <c r="E377" i="7"/>
  <c r="R376" i="7"/>
  <c r="Q376" i="7"/>
  <c r="P376" i="7"/>
  <c r="K376" i="7"/>
  <c r="J376" i="7"/>
  <c r="E376" i="7"/>
  <c r="AN375" i="7"/>
  <c r="AK375" i="7"/>
  <c r="AE375" i="7"/>
  <c r="Y375" i="7"/>
  <c r="AP375" i="7" s="1"/>
  <c r="S375" i="7"/>
  <c r="N375" i="7"/>
  <c r="AM375" i="7" s="1"/>
  <c r="L375" i="7"/>
  <c r="F375" i="7"/>
  <c r="E375" i="7"/>
  <c r="AK374" i="7"/>
  <c r="AE374" i="7"/>
  <c r="Y374" i="7"/>
  <c r="AP374" i="7" s="1"/>
  <c r="S374" i="7"/>
  <c r="AN374" i="7" s="1"/>
  <c r="N374" i="7"/>
  <c r="AM374" i="7" s="1"/>
  <c r="F374" i="7"/>
  <c r="E374" i="7"/>
  <c r="AZ373" i="7"/>
  <c r="AX373" i="7"/>
  <c r="AV373" i="7"/>
  <c r="AP373" i="7"/>
  <c r="AK373" i="7"/>
  <c r="AE373" i="7"/>
  <c r="Y373" i="7"/>
  <c r="S373" i="7"/>
  <c r="AN373" i="7" s="1"/>
  <c r="N373" i="7"/>
  <c r="AM373" i="7" s="1"/>
  <c r="L373" i="7"/>
  <c r="F373" i="7"/>
  <c r="E373" i="7"/>
  <c r="AM372" i="7"/>
  <c r="AK372" i="7"/>
  <c r="AE372" i="7"/>
  <c r="Y372" i="7"/>
  <c r="S372" i="7"/>
  <c r="AN372" i="7" s="1"/>
  <c r="N372" i="7"/>
  <c r="F372" i="7"/>
  <c r="E372" i="7"/>
  <c r="AP371" i="7"/>
  <c r="AN371" i="7"/>
  <c r="AM371" i="7"/>
  <c r="AQ371" i="7" s="1"/>
  <c r="AK371" i="7"/>
  <c r="AE371" i="7"/>
  <c r="Y371" i="7"/>
  <c r="S371" i="7"/>
  <c r="N371" i="7"/>
  <c r="L371" i="7"/>
  <c r="F371" i="7"/>
  <c r="E371" i="7"/>
  <c r="AP370" i="7"/>
  <c r="AM370" i="7"/>
  <c r="AK370" i="7"/>
  <c r="AE370" i="7"/>
  <c r="Y370" i="7"/>
  <c r="S370" i="7"/>
  <c r="N370" i="7"/>
  <c r="F370" i="7"/>
  <c r="E370" i="7"/>
  <c r="AM369" i="7"/>
  <c r="AK369" i="7"/>
  <c r="AE369" i="7"/>
  <c r="AP369" i="7" s="1"/>
  <c r="Y369" i="7"/>
  <c r="S369" i="7"/>
  <c r="L369" i="7" s="1"/>
  <c r="N369" i="7"/>
  <c r="F369" i="7"/>
  <c r="E369" i="7"/>
  <c r="AP368" i="7"/>
  <c r="AM368" i="7"/>
  <c r="AK368" i="7"/>
  <c r="AE368" i="7"/>
  <c r="Y368" i="7"/>
  <c r="S368" i="7"/>
  <c r="AN368" i="7" s="1"/>
  <c r="N368" i="7"/>
  <c r="L368" i="7"/>
  <c r="F368" i="7"/>
  <c r="E368" i="7"/>
  <c r="AZ367" i="7"/>
  <c r="AX367" i="7"/>
  <c r="AV367" i="7"/>
  <c r="AK367" i="7"/>
  <c r="AE367" i="7"/>
  <c r="Y367" i="7"/>
  <c r="S367" i="7"/>
  <c r="AN367" i="7" s="1"/>
  <c r="N367" i="7"/>
  <c r="AM367" i="7" s="1"/>
  <c r="F367" i="7"/>
  <c r="E367" i="7"/>
  <c r="AZ366" i="7"/>
  <c r="AX366" i="7"/>
  <c r="AV366" i="7"/>
  <c r="AP366" i="7"/>
  <c r="AK366" i="7"/>
  <c r="AE366" i="7"/>
  <c r="Y366" i="7"/>
  <c r="S366" i="7"/>
  <c r="AN366" i="7" s="1"/>
  <c r="N366" i="7"/>
  <c r="AM366" i="7" s="1"/>
  <c r="L366" i="7"/>
  <c r="F366" i="7"/>
  <c r="E366" i="7"/>
  <c r="AM365" i="7"/>
  <c r="AK365" i="7"/>
  <c r="AE365" i="7"/>
  <c r="Y365" i="7"/>
  <c r="S365" i="7"/>
  <c r="AN365" i="7" s="1"/>
  <c r="N365" i="7"/>
  <c r="L365" i="7"/>
  <c r="F365" i="7"/>
  <c r="E365" i="7"/>
  <c r="AZ364" i="7"/>
  <c r="AX364" i="7"/>
  <c r="AV364" i="7"/>
  <c r="AN364" i="7"/>
  <c r="AK364" i="7"/>
  <c r="AE364" i="7"/>
  <c r="Y364" i="7"/>
  <c r="AP364" i="7" s="1"/>
  <c r="S364" i="7"/>
  <c r="N364" i="7"/>
  <c r="AM364" i="7" s="1"/>
  <c r="L364" i="7"/>
  <c r="F364" i="7"/>
  <c r="E364" i="7"/>
  <c r="AP363" i="7"/>
  <c r="AN363" i="7"/>
  <c r="AK363" i="7"/>
  <c r="AE363" i="7"/>
  <c r="Y363" i="7"/>
  <c r="S363" i="7"/>
  <c r="L363" i="7" s="1"/>
  <c r="N363" i="7"/>
  <c r="AM363" i="7" s="1"/>
  <c r="F363" i="7"/>
  <c r="E363" i="7"/>
  <c r="AN362" i="7"/>
  <c r="AK362" i="7"/>
  <c r="AE362" i="7"/>
  <c r="Y362" i="7"/>
  <c r="S362" i="7"/>
  <c r="N362" i="7"/>
  <c r="AM362" i="7" s="1"/>
  <c r="F362" i="7"/>
  <c r="E362" i="7"/>
  <c r="AD361" i="7"/>
  <c r="AC361" i="7"/>
  <c r="AB361" i="7"/>
  <c r="X361" i="7"/>
  <c r="W361" i="7"/>
  <c r="V361" i="7"/>
  <c r="U361" i="7"/>
  <c r="T361" i="7"/>
  <c r="R361" i="7"/>
  <c r="Q361" i="7"/>
  <c r="P361" i="7"/>
  <c r="O361" i="7"/>
  <c r="M361" i="7"/>
  <c r="K361" i="7"/>
  <c r="J361" i="7"/>
  <c r="E361" i="7"/>
  <c r="AZ360" i="7"/>
  <c r="AV360" i="7"/>
  <c r="AP360" i="7"/>
  <c r="AN360" i="7"/>
  <c r="AK360" i="7"/>
  <c r="AE360" i="7"/>
  <c r="Y360" i="7"/>
  <c r="S360" i="7"/>
  <c r="N360" i="7"/>
  <c r="AM360" i="7" s="1"/>
  <c r="AQ360" i="7" s="1"/>
  <c r="L360" i="7"/>
  <c r="F360" i="7"/>
  <c r="E360" i="7"/>
  <c r="AZ359" i="7"/>
  <c r="AV359" i="7"/>
  <c r="AM359" i="7"/>
  <c r="AQ359" i="7" s="1"/>
  <c r="AK359" i="7"/>
  <c r="AE359" i="7"/>
  <c r="AP359" i="7" s="1"/>
  <c r="Y359" i="7"/>
  <c r="S359" i="7"/>
  <c r="AN359" i="7" s="1"/>
  <c r="N359" i="7"/>
  <c r="F359" i="7"/>
  <c r="E359" i="7"/>
  <c r="AP358" i="7"/>
  <c r="AK358" i="7"/>
  <c r="AE358" i="7"/>
  <c r="Y358" i="7"/>
  <c r="S358" i="7"/>
  <c r="AN358" i="7" s="1"/>
  <c r="N358" i="7"/>
  <c r="AM358" i="7" s="1"/>
  <c r="AQ358" i="7" s="1"/>
  <c r="L358" i="7"/>
  <c r="F358" i="7"/>
  <c r="E358" i="7"/>
  <c r="AZ357" i="7"/>
  <c r="AV357" i="7"/>
  <c r="AP357" i="7"/>
  <c r="AN357" i="7"/>
  <c r="AM357" i="7"/>
  <c r="AQ357" i="7" s="1"/>
  <c r="AK357" i="7"/>
  <c r="AE357" i="7"/>
  <c r="Y357" i="7"/>
  <c r="S357" i="7"/>
  <c r="L357" i="7" s="1"/>
  <c r="N357" i="7"/>
  <c r="F357" i="7"/>
  <c r="E357" i="7"/>
  <c r="AP356" i="7"/>
  <c r="AM356" i="7"/>
  <c r="AK356" i="7"/>
  <c r="AE356" i="7"/>
  <c r="Y356" i="7"/>
  <c r="S356" i="7"/>
  <c r="AN356" i="7" s="1"/>
  <c r="N356" i="7"/>
  <c r="L356" i="7"/>
  <c r="F356" i="7"/>
  <c r="E356" i="7"/>
  <c r="AK355" i="7"/>
  <c r="AE355" i="7"/>
  <c r="AP355" i="7" s="1"/>
  <c r="Y355" i="7"/>
  <c r="S355" i="7"/>
  <c r="AN355" i="7" s="1"/>
  <c r="N355" i="7"/>
  <c r="AM355" i="7" s="1"/>
  <c r="L355" i="7"/>
  <c r="F355" i="7"/>
  <c r="E355" i="7"/>
  <c r="AP354" i="7"/>
  <c r="AM354" i="7"/>
  <c r="AK354" i="7"/>
  <c r="AE354" i="7"/>
  <c r="Y354" i="7"/>
  <c r="S354" i="7"/>
  <c r="AN354" i="7" s="1"/>
  <c r="N354" i="7"/>
  <c r="F354" i="7"/>
  <c r="E354" i="7"/>
  <c r="AP353" i="7"/>
  <c r="AK353" i="7"/>
  <c r="AE353" i="7"/>
  <c r="Y353" i="7"/>
  <c r="S353" i="7"/>
  <c r="L353" i="7" s="1"/>
  <c r="N353" i="7"/>
  <c r="AM353" i="7" s="1"/>
  <c r="F353" i="7"/>
  <c r="E353" i="7"/>
  <c r="AM352" i="7"/>
  <c r="AK352" i="7"/>
  <c r="AE352" i="7"/>
  <c r="Y352" i="7"/>
  <c r="AP352" i="7" s="1"/>
  <c r="S352" i="7"/>
  <c r="AN352" i="7" s="1"/>
  <c r="N352" i="7"/>
  <c r="L352" i="7"/>
  <c r="F352" i="7"/>
  <c r="E352" i="7"/>
  <c r="AZ351" i="7"/>
  <c r="AV351" i="7"/>
  <c r="AK351" i="7"/>
  <c r="AE351" i="7"/>
  <c r="Y351" i="7"/>
  <c r="AP351" i="7" s="1"/>
  <c r="S351" i="7"/>
  <c r="AN351" i="7" s="1"/>
  <c r="N351" i="7"/>
  <c r="AM351" i="7" s="1"/>
  <c r="L351" i="7"/>
  <c r="F351" i="7"/>
  <c r="E351" i="7"/>
  <c r="AZ350" i="7"/>
  <c r="AV350" i="7"/>
  <c r="AP350" i="7"/>
  <c r="AN350" i="7"/>
  <c r="AM350" i="7"/>
  <c r="AK350" i="7"/>
  <c r="AE350" i="7"/>
  <c r="Y350" i="7"/>
  <c r="S350" i="7"/>
  <c r="N350" i="7"/>
  <c r="L350" i="7"/>
  <c r="F350" i="7"/>
  <c r="E350" i="7"/>
  <c r="AZ349" i="7"/>
  <c r="AX349" i="7"/>
  <c r="AV349" i="7"/>
  <c r="AN349" i="7"/>
  <c r="AM349" i="7"/>
  <c r="AK349" i="7"/>
  <c r="AE349" i="7"/>
  <c r="Y349" i="7"/>
  <c r="AP349" i="7" s="1"/>
  <c r="S349" i="7"/>
  <c r="N349" i="7"/>
  <c r="L349" i="7"/>
  <c r="F349" i="7"/>
  <c r="E349" i="7"/>
  <c r="AZ348" i="7"/>
  <c r="AV348" i="7"/>
  <c r="AN348" i="7"/>
  <c r="AK348" i="7"/>
  <c r="AE348" i="7"/>
  <c r="AE347" i="7" s="1"/>
  <c r="Y348" i="7"/>
  <c r="S348" i="7"/>
  <c r="N348" i="7"/>
  <c r="AM348" i="7" s="1"/>
  <c r="F348" i="7"/>
  <c r="E348" i="7"/>
  <c r="AD347" i="7"/>
  <c r="AC347" i="7"/>
  <c r="AB347" i="7"/>
  <c r="X347" i="7"/>
  <c r="W347" i="7"/>
  <c r="V347" i="7"/>
  <c r="U347" i="7"/>
  <c r="T347" i="7"/>
  <c r="R347" i="7"/>
  <c r="Q347" i="7"/>
  <c r="P347" i="7"/>
  <c r="O347" i="7"/>
  <c r="M347" i="7"/>
  <c r="K347" i="7"/>
  <c r="J347" i="7"/>
  <c r="E347" i="7"/>
  <c r="AP346" i="7"/>
  <c r="AN346" i="7"/>
  <c r="AM346" i="7"/>
  <c r="AK346" i="7"/>
  <c r="AE346" i="7"/>
  <c r="Y346" i="7"/>
  <c r="S346" i="7"/>
  <c r="N346" i="7"/>
  <c r="L346" i="7"/>
  <c r="F346" i="7"/>
  <c r="E346" i="7"/>
  <c r="AK345" i="7"/>
  <c r="AE345" i="7"/>
  <c r="Y345" i="7"/>
  <c r="AP345" i="7" s="1"/>
  <c r="S345" i="7"/>
  <c r="AN345" i="7" s="1"/>
  <c r="N345" i="7"/>
  <c r="AM345" i="7" s="1"/>
  <c r="AQ345" i="7" s="1"/>
  <c r="F345" i="7"/>
  <c r="E345" i="7"/>
  <c r="AP344" i="7"/>
  <c r="AN344" i="7"/>
  <c r="AM344" i="7"/>
  <c r="AK344" i="7"/>
  <c r="AE344" i="7"/>
  <c r="Y344" i="7"/>
  <c r="S344" i="7"/>
  <c r="L344" i="7" s="1"/>
  <c r="N344" i="7"/>
  <c r="F344" i="7"/>
  <c r="E344" i="7"/>
  <c r="AZ343" i="7"/>
  <c r="AX343" i="7"/>
  <c r="AV343" i="7"/>
  <c r="AM343" i="7"/>
  <c r="AK343" i="7"/>
  <c r="AE343" i="7"/>
  <c r="AP343" i="7" s="1"/>
  <c r="S343" i="7"/>
  <c r="L343" i="7" s="1"/>
  <c r="N343" i="7"/>
  <c r="F343" i="7"/>
  <c r="E343" i="7"/>
  <c r="AP342" i="7"/>
  <c r="AN342" i="7"/>
  <c r="AM342" i="7"/>
  <c r="AK342" i="7"/>
  <c r="AE342" i="7"/>
  <c r="Y342" i="7"/>
  <c r="S342" i="7"/>
  <c r="N342" i="7"/>
  <c r="L342" i="7"/>
  <c r="F342" i="7"/>
  <c r="E342" i="7"/>
  <c r="AK341" i="7"/>
  <c r="AE341" i="7"/>
  <c r="Y341" i="7"/>
  <c r="S341" i="7"/>
  <c r="N341" i="7"/>
  <c r="AM341" i="7" s="1"/>
  <c r="F341" i="7"/>
  <c r="E341" i="7"/>
  <c r="AN340" i="7"/>
  <c r="AM340" i="7"/>
  <c r="AK340" i="7"/>
  <c r="AE340" i="7"/>
  <c r="Y340" i="7"/>
  <c r="AP340" i="7" s="1"/>
  <c r="S340" i="7"/>
  <c r="L340" i="7" s="1"/>
  <c r="N340" i="7"/>
  <c r="F340" i="7"/>
  <c r="E340" i="7"/>
  <c r="AZ339" i="7"/>
  <c r="AX339" i="7"/>
  <c r="AV339" i="7"/>
  <c r="AM339" i="7"/>
  <c r="AK339" i="7"/>
  <c r="AE339" i="7"/>
  <c r="Y339" i="7"/>
  <c r="AP339" i="7" s="1"/>
  <c r="S339" i="7"/>
  <c r="L339" i="7" s="1"/>
  <c r="N339" i="7"/>
  <c r="F339" i="7"/>
  <c r="E339" i="7"/>
  <c r="AP338" i="7"/>
  <c r="AK338" i="7"/>
  <c r="AE338" i="7"/>
  <c r="Y338" i="7"/>
  <c r="S338" i="7"/>
  <c r="N338" i="7"/>
  <c r="AM338" i="7" s="1"/>
  <c r="F338" i="7"/>
  <c r="E338" i="7"/>
  <c r="AM337" i="7"/>
  <c r="AK337" i="7"/>
  <c r="AK332" i="7" s="1"/>
  <c r="AE337" i="7"/>
  <c r="Y337" i="7"/>
  <c r="AP337" i="7" s="1"/>
  <c r="S337" i="7"/>
  <c r="L337" i="7" s="1"/>
  <c r="N337" i="7"/>
  <c r="F337" i="7"/>
  <c r="E337" i="7"/>
  <c r="AP336" i="7"/>
  <c r="AK336" i="7"/>
  <c r="AE336" i="7"/>
  <c r="Y336" i="7"/>
  <c r="S336" i="7"/>
  <c r="N336" i="7"/>
  <c r="AM336" i="7" s="1"/>
  <c r="F336" i="7"/>
  <c r="E336" i="7"/>
  <c r="AZ335" i="7"/>
  <c r="AX335" i="7"/>
  <c r="AV335" i="7"/>
  <c r="AP335" i="7"/>
  <c r="AN335" i="7"/>
  <c r="AK335" i="7"/>
  <c r="AE335" i="7"/>
  <c r="Y335" i="7"/>
  <c r="S335" i="7"/>
  <c r="N335" i="7"/>
  <c r="AM335" i="7" s="1"/>
  <c r="AQ335" i="7" s="1"/>
  <c r="L335" i="7"/>
  <c r="F335" i="7"/>
  <c r="E335" i="7"/>
  <c r="AK334" i="7"/>
  <c r="AE334" i="7"/>
  <c r="Y334" i="7"/>
  <c r="AP334" i="7" s="1"/>
  <c r="S334" i="7"/>
  <c r="AN334" i="7" s="1"/>
  <c r="N334" i="7"/>
  <c r="AM334" i="7" s="1"/>
  <c r="F334" i="7"/>
  <c r="E334" i="7"/>
  <c r="AZ333" i="7"/>
  <c r="AX333" i="7"/>
  <c r="AV333" i="7"/>
  <c r="AN333" i="7"/>
  <c r="AK333" i="7"/>
  <c r="AE333" i="7"/>
  <c r="AD333" i="7"/>
  <c r="AD332" i="7" s="1"/>
  <c r="Y333" i="7"/>
  <c r="AP333" i="7" s="1"/>
  <c r="S333" i="7"/>
  <c r="N333" i="7"/>
  <c r="AM333" i="7" s="1"/>
  <c r="F333" i="7"/>
  <c r="E333" i="7"/>
  <c r="AE332" i="7"/>
  <c r="AC332" i="7"/>
  <c r="AB332" i="7"/>
  <c r="X332" i="7"/>
  <c r="W332" i="7"/>
  <c r="V332" i="7"/>
  <c r="U332" i="7"/>
  <c r="T332" i="7"/>
  <c r="R332" i="7"/>
  <c r="Q332" i="7"/>
  <c r="P332" i="7"/>
  <c r="K332" i="7"/>
  <c r="E332" i="7"/>
  <c r="AK331" i="7"/>
  <c r="AE331" i="7"/>
  <c r="Y331" i="7"/>
  <c r="AP331" i="7" s="1"/>
  <c r="S331" i="7"/>
  <c r="N331" i="7"/>
  <c r="AM331" i="7" s="1"/>
  <c r="F331" i="7"/>
  <c r="E331" i="7"/>
  <c r="AN330" i="7"/>
  <c r="AM330" i="7"/>
  <c r="AK330" i="7"/>
  <c r="AE330" i="7"/>
  <c r="Y330" i="7"/>
  <c r="AP330" i="7" s="1"/>
  <c r="S330" i="7"/>
  <c r="N330" i="7"/>
  <c r="L330" i="7"/>
  <c r="F330" i="7"/>
  <c r="E330" i="7"/>
  <c r="AZ329" i="7"/>
  <c r="AX329" i="7"/>
  <c r="AV329" i="7"/>
  <c r="AM329" i="7"/>
  <c r="AK329" i="7"/>
  <c r="AE329" i="7"/>
  <c r="AD329" i="7"/>
  <c r="Y329" i="7"/>
  <c r="AP329" i="7" s="1"/>
  <c r="S329" i="7"/>
  <c r="AN329" i="7" s="1"/>
  <c r="N329" i="7"/>
  <c r="F329" i="7"/>
  <c r="E329" i="7"/>
  <c r="AZ328" i="7"/>
  <c r="AX328" i="7"/>
  <c r="AV328" i="7"/>
  <c r="AM328" i="7"/>
  <c r="AK328" i="7"/>
  <c r="AE328" i="7"/>
  <c r="Y328" i="7"/>
  <c r="AP328" i="7" s="1"/>
  <c r="S328" i="7"/>
  <c r="L328" i="7" s="1"/>
  <c r="N328" i="7"/>
  <c r="F328" i="7"/>
  <c r="E328" i="7"/>
  <c r="AP327" i="7"/>
  <c r="AK327" i="7"/>
  <c r="AE327" i="7"/>
  <c r="Y327" i="7"/>
  <c r="S327" i="7"/>
  <c r="N327" i="7"/>
  <c r="AM327" i="7" s="1"/>
  <c r="F327" i="7"/>
  <c r="E327" i="7"/>
  <c r="AM326" i="7"/>
  <c r="AK326" i="7"/>
  <c r="AE326" i="7"/>
  <c r="Y326" i="7"/>
  <c r="AP326" i="7" s="1"/>
  <c r="S326" i="7"/>
  <c r="L326" i="7" s="1"/>
  <c r="N326" i="7"/>
  <c r="F326" i="7"/>
  <c r="E326" i="7"/>
  <c r="AZ325" i="7"/>
  <c r="AX325" i="7"/>
  <c r="AV325" i="7"/>
  <c r="AK325" i="7"/>
  <c r="AE325" i="7"/>
  <c r="Y325" i="7"/>
  <c r="AP325" i="7" s="1"/>
  <c r="S325" i="7"/>
  <c r="AN325" i="7" s="1"/>
  <c r="N325" i="7"/>
  <c r="AM325" i="7" s="1"/>
  <c r="F325" i="7"/>
  <c r="E325" i="7"/>
  <c r="AP324" i="7"/>
  <c r="AN324" i="7"/>
  <c r="AK324" i="7"/>
  <c r="AE324" i="7"/>
  <c r="Y324" i="7"/>
  <c r="S324" i="7"/>
  <c r="N324" i="7"/>
  <c r="AM324" i="7" s="1"/>
  <c r="AQ324" i="7" s="1"/>
  <c r="L324" i="7"/>
  <c r="F324" i="7"/>
  <c r="E324" i="7"/>
  <c r="AZ323" i="7"/>
  <c r="AX323" i="7"/>
  <c r="AV323" i="7"/>
  <c r="AP323" i="7"/>
  <c r="AN323" i="7"/>
  <c r="AM323" i="7"/>
  <c r="AK323" i="7"/>
  <c r="AE323" i="7"/>
  <c r="Y323" i="7"/>
  <c r="S323" i="7"/>
  <c r="N323" i="7"/>
  <c r="L323" i="7"/>
  <c r="F323" i="7"/>
  <c r="E323" i="7"/>
  <c r="AZ322" i="7"/>
  <c r="AX322" i="7"/>
  <c r="AV322" i="7"/>
  <c r="AN322" i="7"/>
  <c r="AM322" i="7"/>
  <c r="AK322" i="7"/>
  <c r="AE322" i="7"/>
  <c r="Y322" i="7"/>
  <c r="AP322" i="7" s="1"/>
  <c r="S322" i="7"/>
  <c r="N322" i="7"/>
  <c r="F322" i="7"/>
  <c r="E322" i="7"/>
  <c r="AK321" i="7"/>
  <c r="AE321" i="7"/>
  <c r="Y321" i="7"/>
  <c r="AP321" i="7" s="1"/>
  <c r="S321" i="7"/>
  <c r="N321" i="7"/>
  <c r="AM321" i="7" s="1"/>
  <c r="F321" i="7"/>
  <c r="E321" i="7"/>
  <c r="AZ320" i="7"/>
  <c r="AX320" i="7"/>
  <c r="AV320" i="7"/>
  <c r="AP320" i="7"/>
  <c r="AK320" i="7"/>
  <c r="AE320" i="7"/>
  <c r="Y320" i="7"/>
  <c r="S320" i="7"/>
  <c r="N320" i="7"/>
  <c r="AM320" i="7" s="1"/>
  <c r="L320" i="7"/>
  <c r="F320" i="7"/>
  <c r="E320" i="7"/>
  <c r="AZ319" i="7"/>
  <c r="AX319" i="7"/>
  <c r="AV319" i="7"/>
  <c r="AP319" i="7"/>
  <c r="AN319" i="7"/>
  <c r="AK319" i="7"/>
  <c r="AE319" i="7"/>
  <c r="Y319" i="7"/>
  <c r="S319" i="7"/>
  <c r="N319" i="7"/>
  <c r="AM319" i="7" s="1"/>
  <c r="AQ319" i="7" s="1"/>
  <c r="L319" i="7"/>
  <c r="F319" i="7"/>
  <c r="E319" i="7"/>
  <c r="AZ318" i="7"/>
  <c r="AX318" i="7"/>
  <c r="AV318" i="7"/>
  <c r="AP318" i="7"/>
  <c r="AN318" i="7"/>
  <c r="AM318" i="7"/>
  <c r="AK318" i="7"/>
  <c r="AE318" i="7"/>
  <c r="Y318" i="7"/>
  <c r="S318" i="7"/>
  <c r="N318" i="7"/>
  <c r="L318" i="7"/>
  <c r="F318" i="7"/>
  <c r="E318" i="7"/>
  <c r="AK317" i="7"/>
  <c r="AE317" i="7"/>
  <c r="Y317" i="7"/>
  <c r="S317" i="7"/>
  <c r="N317" i="7"/>
  <c r="AM317" i="7" s="1"/>
  <c r="F317" i="7"/>
  <c r="E317" i="7"/>
  <c r="AP316" i="7"/>
  <c r="AN316" i="7"/>
  <c r="AM316" i="7"/>
  <c r="AQ316" i="7" s="1"/>
  <c r="AK316" i="7"/>
  <c r="AE316" i="7"/>
  <c r="Y316" i="7"/>
  <c r="S316" i="7"/>
  <c r="N316" i="7"/>
  <c r="L316" i="7"/>
  <c r="F316" i="7"/>
  <c r="E316" i="7"/>
  <c r="AK315" i="7"/>
  <c r="AE315" i="7"/>
  <c r="Y315" i="7"/>
  <c r="S315" i="7"/>
  <c r="L315" i="7" s="1"/>
  <c r="N315" i="7"/>
  <c r="AM315" i="7" s="1"/>
  <c r="F315" i="7"/>
  <c r="E315" i="7"/>
  <c r="AP314" i="7"/>
  <c r="AN314" i="7"/>
  <c r="AM314" i="7"/>
  <c r="AK314" i="7"/>
  <c r="AE314" i="7"/>
  <c r="Y314" i="7"/>
  <c r="S314" i="7"/>
  <c r="N314" i="7"/>
  <c r="L314" i="7"/>
  <c r="F314" i="7"/>
  <c r="E314" i="7"/>
  <c r="AZ313" i="7"/>
  <c r="AX313" i="7"/>
  <c r="AV313" i="7"/>
  <c r="AN313" i="7"/>
  <c r="AM313" i="7"/>
  <c r="AK313" i="7"/>
  <c r="AE313" i="7"/>
  <c r="Y313" i="7"/>
  <c r="AP313" i="7" s="1"/>
  <c r="S313" i="7"/>
  <c r="N313" i="7"/>
  <c r="F313" i="7"/>
  <c r="E313" i="7"/>
  <c r="AZ312" i="7"/>
  <c r="AX312" i="7"/>
  <c r="AV312" i="7"/>
  <c r="AM312" i="7"/>
  <c r="AK312" i="7"/>
  <c r="AE312" i="7"/>
  <c r="Y312" i="7"/>
  <c r="AP312" i="7" s="1"/>
  <c r="S312" i="7"/>
  <c r="L312" i="7" s="1"/>
  <c r="N312" i="7"/>
  <c r="F312" i="7"/>
  <c r="E312" i="7"/>
  <c r="AZ311" i="7"/>
  <c r="AX311" i="7"/>
  <c r="AV311" i="7"/>
  <c r="AK311" i="7"/>
  <c r="AE311" i="7"/>
  <c r="Y311" i="7"/>
  <c r="S311" i="7"/>
  <c r="AN311" i="7" s="1"/>
  <c r="N311" i="7"/>
  <c r="AM311" i="7" s="1"/>
  <c r="L311" i="7"/>
  <c r="F311" i="7"/>
  <c r="E311" i="7"/>
  <c r="AZ310" i="7"/>
  <c r="AX310" i="7"/>
  <c r="AV310" i="7"/>
  <c r="AK310" i="7"/>
  <c r="AE310" i="7"/>
  <c r="Y310" i="7"/>
  <c r="S310" i="7"/>
  <c r="AN310" i="7" s="1"/>
  <c r="N310" i="7"/>
  <c r="AM310" i="7" s="1"/>
  <c r="F310" i="7"/>
  <c r="E310" i="7"/>
  <c r="AD309" i="7"/>
  <c r="AC309" i="7"/>
  <c r="AB309" i="7"/>
  <c r="X309" i="7"/>
  <c r="W309" i="7"/>
  <c r="V309" i="7"/>
  <c r="U309" i="7"/>
  <c r="T309" i="7"/>
  <c r="R309" i="7"/>
  <c r="Q309" i="7"/>
  <c r="P309" i="7"/>
  <c r="K309" i="7"/>
  <c r="E309" i="7"/>
  <c r="AZ308" i="7"/>
  <c r="AX308" i="7"/>
  <c r="AV308" i="7"/>
  <c r="AM308" i="7"/>
  <c r="AK308" i="7"/>
  <c r="AE308" i="7"/>
  <c r="Y308" i="7"/>
  <c r="S308" i="7"/>
  <c r="AN308" i="7" s="1"/>
  <c r="N308" i="7"/>
  <c r="L308" i="7"/>
  <c r="F308" i="7"/>
  <c r="E308" i="7"/>
  <c r="AZ307" i="7"/>
  <c r="AX307" i="7"/>
  <c r="AV307" i="7"/>
  <c r="AK307" i="7"/>
  <c r="AE307" i="7"/>
  <c r="Y307" i="7"/>
  <c r="S307" i="7"/>
  <c r="N307" i="7"/>
  <c r="AM307" i="7" s="1"/>
  <c r="F307" i="7"/>
  <c r="E307" i="7"/>
  <c r="AP306" i="7"/>
  <c r="AN306" i="7"/>
  <c r="AM306" i="7"/>
  <c r="AK306" i="7"/>
  <c r="AE306" i="7"/>
  <c r="Y306" i="7"/>
  <c r="S306" i="7"/>
  <c r="N306" i="7"/>
  <c r="L306" i="7"/>
  <c r="F306" i="7"/>
  <c r="E306" i="7"/>
  <c r="AZ305" i="7"/>
  <c r="AX305" i="7"/>
  <c r="AV305" i="7"/>
  <c r="AN305" i="7"/>
  <c r="AM305" i="7"/>
  <c r="AK305" i="7"/>
  <c r="AD305" i="7"/>
  <c r="AE305" i="7" s="1"/>
  <c r="Y305" i="7"/>
  <c r="S305" i="7"/>
  <c r="N305" i="7"/>
  <c r="F305" i="7"/>
  <c r="E305" i="7"/>
  <c r="AZ304" i="7"/>
  <c r="AX304" i="7"/>
  <c r="AV304" i="7"/>
  <c r="AP304" i="7"/>
  <c r="AN304" i="7"/>
  <c r="AM304" i="7"/>
  <c r="AQ304" i="7" s="1"/>
  <c r="AK304" i="7"/>
  <c r="AE304" i="7"/>
  <c r="Y304" i="7"/>
  <c r="S304" i="7"/>
  <c r="N304" i="7"/>
  <c r="L304" i="7"/>
  <c r="F304" i="7"/>
  <c r="E304" i="7"/>
  <c r="AK303" i="7"/>
  <c r="AE303" i="7"/>
  <c r="Y303" i="7"/>
  <c r="AP303" i="7" s="1"/>
  <c r="S303" i="7"/>
  <c r="N303" i="7"/>
  <c r="AM303" i="7" s="1"/>
  <c r="F303" i="7"/>
  <c r="E303" i="7"/>
  <c r="AZ302" i="7"/>
  <c r="AX302" i="7"/>
  <c r="AV302" i="7"/>
  <c r="AQ302" i="7"/>
  <c r="AP302" i="7"/>
  <c r="AK302" i="7"/>
  <c r="AE302" i="7"/>
  <c r="Y302" i="7"/>
  <c r="S302" i="7"/>
  <c r="AN302" i="7" s="1"/>
  <c r="N302" i="7"/>
  <c r="AM302" i="7" s="1"/>
  <c r="F302" i="7"/>
  <c r="E302" i="7"/>
  <c r="AN301" i="7"/>
  <c r="AM301" i="7"/>
  <c r="AK301" i="7"/>
  <c r="AK298" i="7" s="1"/>
  <c r="AE301" i="7"/>
  <c r="Y301" i="7"/>
  <c r="AP301" i="7" s="1"/>
  <c r="S301" i="7"/>
  <c r="L301" i="7" s="1"/>
  <c r="N301" i="7"/>
  <c r="F301" i="7"/>
  <c r="E301" i="7"/>
  <c r="AP300" i="7"/>
  <c r="AK300" i="7"/>
  <c r="AE300" i="7"/>
  <c r="Y300" i="7"/>
  <c r="S300" i="7"/>
  <c r="N300" i="7"/>
  <c r="AM300" i="7" s="1"/>
  <c r="F300" i="7"/>
  <c r="E300" i="7"/>
  <c r="AN299" i="7"/>
  <c r="AM299" i="7"/>
  <c r="AK299" i="7"/>
  <c r="AE299" i="7"/>
  <c r="Y299" i="7"/>
  <c r="S299" i="7"/>
  <c r="N299" i="7"/>
  <c r="F299" i="7"/>
  <c r="E299" i="7"/>
  <c r="AH298" i="7"/>
  <c r="R298" i="7"/>
  <c r="Q298" i="7"/>
  <c r="P298" i="7"/>
  <c r="K298" i="7"/>
  <c r="E298" i="7"/>
  <c r="AZ297" i="7"/>
  <c r="AX297" i="7"/>
  <c r="AV297" i="7"/>
  <c r="AP297" i="7"/>
  <c r="AN297" i="7"/>
  <c r="AM297" i="7"/>
  <c r="AK297" i="7"/>
  <c r="AE297" i="7"/>
  <c r="Y297" i="7"/>
  <c r="S297" i="7"/>
  <c r="N297" i="7"/>
  <c r="L297" i="7"/>
  <c r="F297" i="7"/>
  <c r="E297" i="7"/>
  <c r="AZ296" i="7"/>
  <c r="AX296" i="7"/>
  <c r="AV296" i="7"/>
  <c r="AP296" i="7"/>
  <c r="AN296" i="7"/>
  <c r="AM296" i="7"/>
  <c r="AK296" i="7"/>
  <c r="AE296" i="7"/>
  <c r="Y296" i="7"/>
  <c r="S296" i="7"/>
  <c r="N296" i="7"/>
  <c r="L296" i="7"/>
  <c r="F296" i="7"/>
  <c r="E296" i="7"/>
  <c r="AK295" i="7"/>
  <c r="AE295" i="7"/>
  <c r="Y295" i="7"/>
  <c r="AP295" i="7" s="1"/>
  <c r="S295" i="7"/>
  <c r="N295" i="7"/>
  <c r="AM295" i="7" s="1"/>
  <c r="F295" i="7"/>
  <c r="E295" i="7"/>
  <c r="AZ294" i="7"/>
  <c r="AX294" i="7"/>
  <c r="AV294" i="7"/>
  <c r="AQ294" i="7"/>
  <c r="AP294" i="7"/>
  <c r="AK294" i="7"/>
  <c r="AE294" i="7"/>
  <c r="Y294" i="7"/>
  <c r="S294" i="7"/>
  <c r="AN294" i="7" s="1"/>
  <c r="N294" i="7"/>
  <c r="AM294" i="7" s="1"/>
  <c r="L294" i="7"/>
  <c r="F294" i="7"/>
  <c r="E294" i="7"/>
  <c r="AN293" i="7"/>
  <c r="AM293" i="7"/>
  <c r="AQ293" i="7" s="1"/>
  <c r="AK293" i="7"/>
  <c r="AE293" i="7"/>
  <c r="Y293" i="7"/>
  <c r="AP293" i="7" s="1"/>
  <c r="S293" i="7"/>
  <c r="L293" i="7" s="1"/>
  <c r="N293" i="7"/>
  <c r="F293" i="7"/>
  <c r="E293" i="7"/>
  <c r="AZ292" i="7"/>
  <c r="AX292" i="7"/>
  <c r="AV292" i="7"/>
  <c r="AM292" i="7"/>
  <c r="AK292" i="7"/>
  <c r="AE292" i="7"/>
  <c r="L292" i="7" s="1"/>
  <c r="Y292" i="7"/>
  <c r="S292" i="7"/>
  <c r="AN292" i="7" s="1"/>
  <c r="N292" i="7"/>
  <c r="F292" i="7"/>
  <c r="E292" i="7"/>
  <c r="AP291" i="7"/>
  <c r="AN291" i="7"/>
  <c r="AK291" i="7"/>
  <c r="AE291" i="7"/>
  <c r="Y291" i="7"/>
  <c r="S291" i="7"/>
  <c r="N291" i="7"/>
  <c r="AM291" i="7" s="1"/>
  <c r="AQ291" i="7" s="1"/>
  <c r="L291" i="7"/>
  <c r="F291" i="7"/>
  <c r="E291" i="7"/>
  <c r="AM290" i="7"/>
  <c r="AK290" i="7"/>
  <c r="AE290" i="7"/>
  <c r="Y290" i="7"/>
  <c r="S290" i="7"/>
  <c r="AN290" i="7" s="1"/>
  <c r="N290" i="7"/>
  <c r="F290" i="7"/>
  <c r="E290" i="7"/>
  <c r="AZ289" i="7"/>
  <c r="AX289" i="7"/>
  <c r="AV289" i="7"/>
  <c r="AK289" i="7"/>
  <c r="AE289" i="7"/>
  <c r="Y289" i="7"/>
  <c r="S289" i="7"/>
  <c r="N289" i="7"/>
  <c r="AM289" i="7" s="1"/>
  <c r="F289" i="7"/>
  <c r="E289" i="7"/>
  <c r="AK288" i="7"/>
  <c r="AH288" i="7"/>
  <c r="AB288" i="7"/>
  <c r="R288" i="7"/>
  <c r="Q288" i="7"/>
  <c r="P288" i="7"/>
  <c r="K288" i="7"/>
  <c r="E288" i="7"/>
  <c r="AV287" i="7"/>
  <c r="AK287" i="7"/>
  <c r="AE287" i="7"/>
  <c r="Y287" i="7"/>
  <c r="AP287" i="7" s="1"/>
  <c r="AQ287" i="7" s="1"/>
  <c r="S287" i="7"/>
  <c r="AN287" i="7" s="1"/>
  <c r="N287" i="7"/>
  <c r="AM287" i="7" s="1"/>
  <c r="L287" i="7"/>
  <c r="F287" i="7"/>
  <c r="E287" i="7"/>
  <c r="AZ286" i="7"/>
  <c r="AX286" i="7"/>
  <c r="AV286" i="7"/>
  <c r="AP286" i="7"/>
  <c r="AN286" i="7"/>
  <c r="AK286" i="7"/>
  <c r="AE286" i="7"/>
  <c r="Y286" i="7"/>
  <c r="S286" i="7"/>
  <c r="L286" i="7" s="1"/>
  <c r="N286" i="7"/>
  <c r="AM286" i="7" s="1"/>
  <c r="AQ286" i="7" s="1"/>
  <c r="F286" i="7"/>
  <c r="E286" i="7"/>
  <c r="AZ285" i="7"/>
  <c r="AX285" i="7"/>
  <c r="AV285" i="7"/>
  <c r="AP285" i="7"/>
  <c r="AN285" i="7"/>
  <c r="AK285" i="7"/>
  <c r="AE285" i="7"/>
  <c r="Y285" i="7"/>
  <c r="S285" i="7"/>
  <c r="N285" i="7"/>
  <c r="AM285" i="7" s="1"/>
  <c r="AQ285" i="7" s="1"/>
  <c r="L285" i="7"/>
  <c r="F285" i="7"/>
  <c r="E285" i="7"/>
  <c r="AV284" i="7"/>
  <c r="AM284" i="7"/>
  <c r="AK284" i="7"/>
  <c r="AE284" i="7"/>
  <c r="L284" i="7" s="1"/>
  <c r="Y284" i="7"/>
  <c r="AP284" i="7" s="1"/>
  <c r="S284" i="7"/>
  <c r="AN284" i="7" s="1"/>
  <c r="N284" i="7"/>
  <c r="F284" i="7"/>
  <c r="E284" i="7"/>
  <c r="AZ283" i="7"/>
  <c r="AX283" i="7"/>
  <c r="AV283" i="7"/>
  <c r="AK283" i="7"/>
  <c r="AE283" i="7"/>
  <c r="L283" i="7" s="1"/>
  <c r="Y283" i="7"/>
  <c r="AP283" i="7" s="1"/>
  <c r="S283" i="7"/>
  <c r="AN283" i="7" s="1"/>
  <c r="N283" i="7"/>
  <c r="AM283" i="7" s="1"/>
  <c r="AQ283" i="7" s="1"/>
  <c r="F283" i="7"/>
  <c r="E283" i="7"/>
  <c r="AP282" i="7"/>
  <c r="AN282" i="7"/>
  <c r="AM282" i="7"/>
  <c r="AQ282" i="7" s="1"/>
  <c r="AK282" i="7"/>
  <c r="AE282" i="7"/>
  <c r="Y282" i="7"/>
  <c r="S282" i="7"/>
  <c r="N282" i="7"/>
  <c r="L282" i="7"/>
  <c r="F282" i="7"/>
  <c r="E282" i="7"/>
  <c r="AZ281" i="7"/>
  <c r="AX281" i="7"/>
  <c r="AV281" i="7"/>
  <c r="AP281" i="7"/>
  <c r="AN281" i="7"/>
  <c r="AM281" i="7"/>
  <c r="AQ281" i="7" s="1"/>
  <c r="AK281" i="7"/>
  <c r="AE281" i="7"/>
  <c r="Y281" i="7"/>
  <c r="S281" i="7"/>
  <c r="N281" i="7"/>
  <c r="L281" i="7"/>
  <c r="F281" i="7"/>
  <c r="E281" i="7"/>
  <c r="AZ280" i="7"/>
  <c r="AX280" i="7"/>
  <c r="AV280" i="7"/>
  <c r="AN280" i="7"/>
  <c r="AM280" i="7"/>
  <c r="AK280" i="7"/>
  <c r="AE280" i="7"/>
  <c r="Y280" i="7"/>
  <c r="AP280" i="7" s="1"/>
  <c r="S280" i="7"/>
  <c r="L280" i="7" s="1"/>
  <c r="N280" i="7"/>
  <c r="F280" i="7"/>
  <c r="E280" i="7"/>
  <c r="AK279" i="7"/>
  <c r="AE279" i="7"/>
  <c r="Y279" i="7"/>
  <c r="AP279" i="7" s="1"/>
  <c r="S279" i="7"/>
  <c r="AN279" i="7" s="1"/>
  <c r="N279" i="7"/>
  <c r="AM279" i="7" s="1"/>
  <c r="AQ279" i="7" s="1"/>
  <c r="L279" i="7"/>
  <c r="F279" i="7"/>
  <c r="E279" i="7"/>
  <c r="AZ278" i="7"/>
  <c r="AX278" i="7"/>
  <c r="AV278" i="7"/>
  <c r="AP278" i="7"/>
  <c r="AN278" i="7"/>
  <c r="AK278" i="7"/>
  <c r="AE278" i="7"/>
  <c r="Y278" i="7"/>
  <c r="S278" i="7"/>
  <c r="L278" i="7" s="1"/>
  <c r="N278" i="7"/>
  <c r="AM278" i="7" s="1"/>
  <c r="F278" i="7"/>
  <c r="E278" i="7"/>
  <c r="AM277" i="7"/>
  <c r="AK277" i="7"/>
  <c r="AE277" i="7"/>
  <c r="Y277" i="7"/>
  <c r="AP277" i="7" s="1"/>
  <c r="S277" i="7"/>
  <c r="AN277" i="7" s="1"/>
  <c r="N277" i="7"/>
  <c r="L277" i="7"/>
  <c r="F277" i="7"/>
  <c r="E277" i="7"/>
  <c r="AV276" i="7"/>
  <c r="AK276" i="7"/>
  <c r="AE276" i="7"/>
  <c r="Y276" i="7"/>
  <c r="AP276" i="7" s="1"/>
  <c r="AQ276" i="7" s="1"/>
  <c r="S276" i="7"/>
  <c r="AN276" i="7" s="1"/>
  <c r="N276" i="7"/>
  <c r="AM276" i="7" s="1"/>
  <c r="L276" i="7"/>
  <c r="F276" i="7"/>
  <c r="E276" i="7"/>
  <c r="AM275" i="7"/>
  <c r="AK275" i="7"/>
  <c r="AE275" i="7"/>
  <c r="Y275" i="7"/>
  <c r="AP275" i="7" s="1"/>
  <c r="S275" i="7"/>
  <c r="L275" i="7" s="1"/>
  <c r="N275" i="7"/>
  <c r="F275" i="7"/>
  <c r="E275" i="7"/>
  <c r="AZ274" i="7"/>
  <c r="AX274" i="7"/>
  <c r="AV274" i="7"/>
  <c r="AM274" i="7"/>
  <c r="AK274" i="7"/>
  <c r="AE274" i="7"/>
  <c r="Y274" i="7"/>
  <c r="S274" i="7"/>
  <c r="AN274" i="7" s="1"/>
  <c r="N274" i="7"/>
  <c r="L274" i="7"/>
  <c r="F274" i="7"/>
  <c r="E274" i="7"/>
  <c r="AP273" i="7"/>
  <c r="AN273" i="7"/>
  <c r="AK273" i="7"/>
  <c r="AE273" i="7"/>
  <c r="Y273" i="7"/>
  <c r="S273" i="7"/>
  <c r="L273" i="7" s="1"/>
  <c r="N273" i="7"/>
  <c r="AM273" i="7" s="1"/>
  <c r="AQ273" i="7" s="1"/>
  <c r="F273" i="7"/>
  <c r="E273" i="7"/>
  <c r="AK272" i="7"/>
  <c r="AE272" i="7"/>
  <c r="Y272" i="7"/>
  <c r="AP272" i="7" s="1"/>
  <c r="S272" i="7"/>
  <c r="AN272" i="7" s="1"/>
  <c r="N272" i="7"/>
  <c r="AM272" i="7" s="1"/>
  <c r="AQ272" i="7" s="1"/>
  <c r="F272" i="7"/>
  <c r="E272" i="7"/>
  <c r="AP271" i="7"/>
  <c r="AN271" i="7"/>
  <c r="AK271" i="7"/>
  <c r="AE271" i="7"/>
  <c r="Y271" i="7"/>
  <c r="S271" i="7"/>
  <c r="N271" i="7"/>
  <c r="AM271" i="7" s="1"/>
  <c r="AQ271" i="7" s="1"/>
  <c r="L271" i="7"/>
  <c r="F271" i="7"/>
  <c r="E271" i="7"/>
  <c r="AV270" i="7"/>
  <c r="AK270" i="7"/>
  <c r="AE270" i="7"/>
  <c r="Y270" i="7"/>
  <c r="S270" i="7"/>
  <c r="L270" i="7" s="1"/>
  <c r="N270" i="7"/>
  <c r="AM270" i="7" s="1"/>
  <c r="F270" i="7"/>
  <c r="E270" i="7"/>
  <c r="AZ269" i="7"/>
  <c r="AX269" i="7"/>
  <c r="AV269" i="7"/>
  <c r="AP269" i="7"/>
  <c r="AK269" i="7"/>
  <c r="AE269" i="7"/>
  <c r="Y269" i="7"/>
  <c r="S269" i="7"/>
  <c r="AN269" i="7" s="1"/>
  <c r="N269" i="7"/>
  <c r="AM269" i="7" s="1"/>
  <c r="AQ269" i="7" s="1"/>
  <c r="L269" i="7"/>
  <c r="F269" i="7"/>
  <c r="E269" i="7"/>
  <c r="AZ268" i="7"/>
  <c r="AX268" i="7"/>
  <c r="AV268" i="7"/>
  <c r="AN268" i="7"/>
  <c r="AK268" i="7"/>
  <c r="AE268" i="7"/>
  <c r="Y268" i="7"/>
  <c r="AP268" i="7" s="1"/>
  <c r="S268" i="7"/>
  <c r="L268" i="7" s="1"/>
  <c r="N268" i="7"/>
  <c r="AM268" i="7" s="1"/>
  <c r="AQ268" i="7" s="1"/>
  <c r="F268" i="7"/>
  <c r="E268" i="7"/>
  <c r="AN267" i="7"/>
  <c r="AM267" i="7"/>
  <c r="AQ267" i="7" s="1"/>
  <c r="AK267" i="7"/>
  <c r="AE267" i="7"/>
  <c r="Y267" i="7"/>
  <c r="AP267" i="7" s="1"/>
  <c r="S267" i="7"/>
  <c r="L267" i="7" s="1"/>
  <c r="N267" i="7"/>
  <c r="F267" i="7"/>
  <c r="E267" i="7"/>
  <c r="AZ266" i="7"/>
  <c r="AX266" i="7"/>
  <c r="AV266" i="7"/>
  <c r="AM266" i="7"/>
  <c r="AK266" i="7"/>
  <c r="AE266" i="7"/>
  <c r="Y266" i="7"/>
  <c r="AP266" i="7" s="1"/>
  <c r="S266" i="7"/>
  <c r="N266" i="7"/>
  <c r="F266" i="7"/>
  <c r="E266" i="7"/>
  <c r="AP265" i="7"/>
  <c r="AM265" i="7"/>
  <c r="AK265" i="7"/>
  <c r="AE265" i="7"/>
  <c r="Y265" i="7"/>
  <c r="S265" i="7"/>
  <c r="L265" i="7" s="1"/>
  <c r="N265" i="7"/>
  <c r="F265" i="7"/>
  <c r="E265" i="7"/>
  <c r="AM264" i="7"/>
  <c r="AK264" i="7"/>
  <c r="AE264" i="7"/>
  <c r="Y264" i="7"/>
  <c r="AP264" i="7" s="1"/>
  <c r="S264" i="7"/>
  <c r="N264" i="7"/>
  <c r="F264" i="7"/>
  <c r="E264" i="7"/>
  <c r="AP263" i="7"/>
  <c r="AM263" i="7"/>
  <c r="AK263" i="7"/>
  <c r="AE263" i="7"/>
  <c r="Y263" i="7"/>
  <c r="S263" i="7"/>
  <c r="L263" i="7" s="1"/>
  <c r="N263" i="7"/>
  <c r="F263" i="7"/>
  <c r="E263" i="7"/>
  <c r="AM262" i="7"/>
  <c r="AK262" i="7"/>
  <c r="AE262" i="7"/>
  <c r="Y262" i="7"/>
  <c r="AP262" i="7" s="1"/>
  <c r="S262" i="7"/>
  <c r="N262" i="7"/>
  <c r="F262" i="7"/>
  <c r="E262" i="7"/>
  <c r="AP261" i="7"/>
  <c r="AM261" i="7"/>
  <c r="AK261" i="7"/>
  <c r="AE261" i="7"/>
  <c r="Y261" i="7"/>
  <c r="S261" i="7"/>
  <c r="L261" i="7" s="1"/>
  <c r="N261" i="7"/>
  <c r="F261" i="7"/>
  <c r="E261" i="7"/>
  <c r="AM260" i="7"/>
  <c r="AK260" i="7"/>
  <c r="AE260" i="7"/>
  <c r="Y260" i="7"/>
  <c r="AP260" i="7" s="1"/>
  <c r="S260" i="7"/>
  <c r="N260" i="7"/>
  <c r="F260" i="7"/>
  <c r="E260" i="7"/>
  <c r="AZ259" i="7"/>
  <c r="AX259" i="7"/>
  <c r="AV259" i="7"/>
  <c r="AK259" i="7"/>
  <c r="AE259" i="7"/>
  <c r="Y259" i="7"/>
  <c r="AP259" i="7" s="1"/>
  <c r="S259" i="7"/>
  <c r="L259" i="7" s="1"/>
  <c r="N259" i="7"/>
  <c r="AM259" i="7" s="1"/>
  <c r="F259" i="7"/>
  <c r="E259" i="7"/>
  <c r="AV258" i="7"/>
  <c r="AM258" i="7"/>
  <c r="AK258" i="7"/>
  <c r="AE258" i="7"/>
  <c r="Y258" i="7"/>
  <c r="AP258" i="7" s="1"/>
  <c r="S258" i="7"/>
  <c r="AN258" i="7" s="1"/>
  <c r="N258" i="7"/>
  <c r="F258" i="7"/>
  <c r="E258" i="7"/>
  <c r="AX257" i="7"/>
  <c r="AV257" i="7"/>
  <c r="AU257" i="7"/>
  <c r="AT257" i="7"/>
  <c r="AY257" i="7" s="1"/>
  <c r="AZ257" i="7" s="1"/>
  <c r="AS257" i="7"/>
  <c r="AN257" i="7"/>
  <c r="AK257" i="7"/>
  <c r="AE257" i="7"/>
  <c r="Y257" i="7"/>
  <c r="AP257" i="7" s="1"/>
  <c r="N257" i="7"/>
  <c r="AM257" i="7" s="1"/>
  <c r="AQ257" i="7" s="1"/>
  <c r="L257" i="7"/>
  <c r="F257" i="7"/>
  <c r="E257" i="7"/>
  <c r="AZ256" i="7"/>
  <c r="AX256" i="7"/>
  <c r="AV256" i="7"/>
  <c r="AN256" i="7"/>
  <c r="AK256" i="7"/>
  <c r="AD256" i="7"/>
  <c r="AE256" i="7" s="1"/>
  <c r="AE249" i="7" s="1"/>
  <c r="Y256" i="7"/>
  <c r="S256" i="7"/>
  <c r="N256" i="7"/>
  <c r="AM256" i="7" s="1"/>
  <c r="F256" i="7"/>
  <c r="E256" i="7"/>
  <c r="AZ255" i="7"/>
  <c r="AX255" i="7"/>
  <c r="AV255" i="7"/>
  <c r="AN255" i="7"/>
  <c r="AK255" i="7"/>
  <c r="AE255" i="7"/>
  <c r="Y255" i="7"/>
  <c r="AP255" i="7" s="1"/>
  <c r="S255" i="7"/>
  <c r="N255" i="7"/>
  <c r="AM255" i="7" s="1"/>
  <c r="AQ255" i="7" s="1"/>
  <c r="F255" i="7"/>
  <c r="E255" i="7"/>
  <c r="AN254" i="7"/>
  <c r="AM254" i="7"/>
  <c r="AQ254" i="7" s="1"/>
  <c r="AK254" i="7"/>
  <c r="AE254" i="7"/>
  <c r="Y254" i="7"/>
  <c r="AP254" i="7" s="1"/>
  <c r="S254" i="7"/>
  <c r="N254" i="7"/>
  <c r="L254" i="7"/>
  <c r="F254" i="7"/>
  <c r="E254" i="7"/>
  <c r="AN253" i="7"/>
  <c r="AK253" i="7"/>
  <c r="AE253" i="7"/>
  <c r="Y253" i="7"/>
  <c r="AP253" i="7" s="1"/>
  <c r="S253" i="7"/>
  <c r="L253" i="7" s="1"/>
  <c r="N253" i="7"/>
  <c r="AM253" i="7" s="1"/>
  <c r="F253" i="7"/>
  <c r="E253" i="7"/>
  <c r="AZ252" i="7"/>
  <c r="AX252" i="7"/>
  <c r="AV252" i="7"/>
  <c r="AM252" i="7"/>
  <c r="AK252" i="7"/>
  <c r="AE252" i="7"/>
  <c r="Y252" i="7"/>
  <c r="AP252" i="7" s="1"/>
  <c r="S252" i="7"/>
  <c r="AN252" i="7" s="1"/>
  <c r="N252" i="7"/>
  <c r="L252" i="7"/>
  <c r="F252" i="7"/>
  <c r="E252" i="7"/>
  <c r="AM251" i="7"/>
  <c r="AK251" i="7"/>
  <c r="AE251" i="7"/>
  <c r="Y251" i="7"/>
  <c r="AP251" i="7" s="1"/>
  <c r="S251" i="7"/>
  <c r="N251" i="7"/>
  <c r="F251" i="7"/>
  <c r="E251" i="7"/>
  <c r="AV250" i="7"/>
  <c r="AN250" i="7"/>
  <c r="AM250" i="7"/>
  <c r="AK250" i="7"/>
  <c r="AE250" i="7"/>
  <c r="Y250" i="7"/>
  <c r="AP250" i="7" s="1"/>
  <c r="S250" i="7"/>
  <c r="N250" i="7"/>
  <c r="L250" i="7"/>
  <c r="F250" i="7"/>
  <c r="E250" i="7"/>
  <c r="AH249" i="7"/>
  <c r="AC249" i="7"/>
  <c r="AB249" i="7"/>
  <c r="X249" i="7"/>
  <c r="W249" i="7"/>
  <c r="V249" i="7"/>
  <c r="U249" i="7"/>
  <c r="T249" i="7"/>
  <c r="R249" i="7"/>
  <c r="Q249" i="7"/>
  <c r="P249" i="7"/>
  <c r="M249" i="7"/>
  <c r="K249" i="7"/>
  <c r="E249" i="7"/>
  <c r="AN248" i="7"/>
  <c r="AM248" i="7"/>
  <c r="AQ248" i="7" s="1"/>
  <c r="AK248" i="7"/>
  <c r="AE248" i="7"/>
  <c r="Y248" i="7"/>
  <c r="AP248" i="7" s="1"/>
  <c r="S248" i="7"/>
  <c r="N248" i="7"/>
  <c r="F248" i="7"/>
  <c r="E248" i="7"/>
  <c r="AZ247" i="7"/>
  <c r="AX247" i="7"/>
  <c r="AV247" i="7"/>
  <c r="AM247" i="7"/>
  <c r="AK247" i="7"/>
  <c r="AE247" i="7"/>
  <c r="Y247" i="7"/>
  <c r="AP247" i="7" s="1"/>
  <c r="S247" i="7"/>
  <c r="L247" i="7" s="1"/>
  <c r="N247" i="7"/>
  <c r="F247" i="7"/>
  <c r="E247" i="7"/>
  <c r="AV246" i="7"/>
  <c r="AN246" i="7"/>
  <c r="AM246" i="7"/>
  <c r="AK246" i="7"/>
  <c r="AE246" i="7"/>
  <c r="Y246" i="7"/>
  <c r="AP246" i="7" s="1"/>
  <c r="S246" i="7"/>
  <c r="N246" i="7"/>
  <c r="F246" i="7"/>
  <c r="E246" i="7"/>
  <c r="AV245" i="7"/>
  <c r="AP245" i="7"/>
  <c r="AN245" i="7"/>
  <c r="AK245" i="7"/>
  <c r="AE245" i="7"/>
  <c r="Y245" i="7"/>
  <c r="S245" i="7"/>
  <c r="N245" i="7"/>
  <c r="AM245" i="7" s="1"/>
  <c r="AQ245" i="7" s="1"/>
  <c r="L245" i="7"/>
  <c r="F245" i="7"/>
  <c r="E245" i="7"/>
  <c r="AV244" i="7"/>
  <c r="AP244" i="7"/>
  <c r="AK244" i="7"/>
  <c r="AE244" i="7"/>
  <c r="AE243" i="7" s="1"/>
  <c r="Y244" i="7"/>
  <c r="S244" i="7"/>
  <c r="AN244" i="7" s="1"/>
  <c r="N244" i="7"/>
  <c r="AM244" i="7" s="1"/>
  <c r="L244" i="7"/>
  <c r="F244" i="7"/>
  <c r="E244" i="7"/>
  <c r="AK243" i="7"/>
  <c r="AH243" i="7"/>
  <c r="S243" i="7"/>
  <c r="R243" i="7"/>
  <c r="Q243" i="7"/>
  <c r="P243" i="7"/>
  <c r="K243" i="7"/>
  <c r="E243" i="7"/>
  <c r="AZ242" i="7"/>
  <c r="AX242" i="7"/>
  <c r="AV242" i="7"/>
  <c r="AN242" i="7"/>
  <c r="AM242" i="7"/>
  <c r="AK242" i="7"/>
  <c r="AE242" i="7"/>
  <c r="Y242" i="7"/>
  <c r="AP242" i="7" s="1"/>
  <c r="S242" i="7"/>
  <c r="N242" i="7"/>
  <c r="L242" i="7"/>
  <c r="F242" i="7"/>
  <c r="E242" i="7"/>
  <c r="AN241" i="7"/>
  <c r="AM241" i="7"/>
  <c r="AK241" i="7"/>
  <c r="AE241" i="7"/>
  <c r="Y241" i="7"/>
  <c r="AP241" i="7" s="1"/>
  <c r="S241" i="7"/>
  <c r="L241" i="7" s="1"/>
  <c r="N241" i="7"/>
  <c r="F241" i="7"/>
  <c r="E241" i="7"/>
  <c r="AZ240" i="7"/>
  <c r="AX240" i="7"/>
  <c r="AV240" i="7"/>
  <c r="AM240" i="7"/>
  <c r="AK240" i="7"/>
  <c r="AE240" i="7"/>
  <c r="Y240" i="7"/>
  <c r="AP240" i="7" s="1"/>
  <c r="S240" i="7"/>
  <c r="N240" i="7"/>
  <c r="F240" i="7"/>
  <c r="E240" i="7"/>
  <c r="AM239" i="7"/>
  <c r="AK239" i="7"/>
  <c r="AE239" i="7"/>
  <c r="Y239" i="7"/>
  <c r="AP239" i="7" s="1"/>
  <c r="S239" i="7"/>
  <c r="L239" i="7" s="1"/>
  <c r="N239" i="7"/>
  <c r="F239" i="7"/>
  <c r="E239" i="7"/>
  <c r="AZ238" i="7"/>
  <c r="AX238" i="7"/>
  <c r="AV238" i="7"/>
  <c r="AP238" i="7"/>
  <c r="AK238" i="7"/>
  <c r="AE238" i="7"/>
  <c r="Y238" i="7"/>
  <c r="S238" i="7"/>
  <c r="AN238" i="7" s="1"/>
  <c r="N238" i="7"/>
  <c r="AM238" i="7" s="1"/>
  <c r="AQ238" i="7" s="1"/>
  <c r="L238" i="7"/>
  <c r="F238" i="7"/>
  <c r="E238" i="7"/>
  <c r="AZ237" i="7"/>
  <c r="AX237" i="7"/>
  <c r="AV237" i="7"/>
  <c r="AN237" i="7"/>
  <c r="AK237" i="7"/>
  <c r="AE237" i="7"/>
  <c r="AP237" i="7" s="1"/>
  <c r="Y237" i="7"/>
  <c r="S237" i="7"/>
  <c r="N237" i="7"/>
  <c r="AM237" i="7" s="1"/>
  <c r="AQ237" i="7" s="1"/>
  <c r="L237" i="7"/>
  <c r="F237" i="7"/>
  <c r="E237" i="7"/>
  <c r="AV236" i="7"/>
  <c r="AK236" i="7"/>
  <c r="AE236" i="7"/>
  <c r="AP236" i="7" s="1"/>
  <c r="Y236" i="7"/>
  <c r="S236" i="7"/>
  <c r="AN236" i="7" s="1"/>
  <c r="N236" i="7"/>
  <c r="AM236" i="7" s="1"/>
  <c r="AQ236" i="7" s="1"/>
  <c r="F236" i="7"/>
  <c r="E236" i="7"/>
  <c r="AZ235" i="7"/>
  <c r="AX235" i="7"/>
  <c r="AV235" i="7"/>
  <c r="AP235" i="7"/>
  <c r="AN235" i="7"/>
  <c r="AK235" i="7"/>
  <c r="AE235" i="7"/>
  <c r="Y235" i="7"/>
  <c r="S235" i="7"/>
  <c r="N235" i="7"/>
  <c r="AM235" i="7" s="1"/>
  <c r="L235" i="7"/>
  <c r="F235" i="7"/>
  <c r="E235" i="7"/>
  <c r="AZ234" i="7"/>
  <c r="AX234" i="7"/>
  <c r="AV234" i="7"/>
  <c r="AN234" i="7"/>
  <c r="AM234" i="7"/>
  <c r="AK234" i="7"/>
  <c r="AE234" i="7"/>
  <c r="Y234" i="7"/>
  <c r="S234" i="7"/>
  <c r="N234" i="7"/>
  <c r="F234" i="7"/>
  <c r="E234" i="7"/>
  <c r="AV233" i="7"/>
  <c r="AN233" i="7"/>
  <c r="AK233" i="7"/>
  <c r="Y233" i="7"/>
  <c r="AP233" i="7" s="1"/>
  <c r="S233" i="7"/>
  <c r="N233" i="7"/>
  <c r="AM233" i="7" s="1"/>
  <c r="L233" i="7"/>
  <c r="F233" i="7"/>
  <c r="E233" i="7"/>
  <c r="AZ232" i="7"/>
  <c r="AX232" i="7"/>
  <c r="AV232" i="7"/>
  <c r="AM232" i="7"/>
  <c r="AK232" i="7"/>
  <c r="AE232" i="7"/>
  <c r="Y232" i="7"/>
  <c r="AP232" i="7" s="1"/>
  <c r="S232" i="7"/>
  <c r="N232" i="7"/>
  <c r="F232" i="7"/>
  <c r="E232" i="7"/>
  <c r="AZ231" i="7"/>
  <c r="AX231" i="7"/>
  <c r="AV231" i="7"/>
  <c r="AK231" i="7"/>
  <c r="AE231" i="7"/>
  <c r="AP231" i="7" s="1"/>
  <c r="Y231" i="7"/>
  <c r="S231" i="7"/>
  <c r="L231" i="7" s="1"/>
  <c r="N231" i="7"/>
  <c r="AM231" i="7" s="1"/>
  <c r="F231" i="7"/>
  <c r="E231" i="7"/>
  <c r="AV230" i="7"/>
  <c r="AM230" i="7"/>
  <c r="AK230" i="7"/>
  <c r="AE230" i="7"/>
  <c r="L230" i="7" s="1"/>
  <c r="Y230" i="7"/>
  <c r="AP230" i="7" s="1"/>
  <c r="S230" i="7"/>
  <c r="AN230" i="7" s="1"/>
  <c r="N230" i="7"/>
  <c r="F230" i="7"/>
  <c r="E230" i="7"/>
  <c r="AV229" i="7"/>
  <c r="AN229" i="7"/>
  <c r="AM229" i="7"/>
  <c r="AK229" i="7"/>
  <c r="AE229" i="7"/>
  <c r="L229" i="7" s="1"/>
  <c r="Y229" i="7"/>
  <c r="AP229" i="7" s="1"/>
  <c r="S229" i="7"/>
  <c r="N229" i="7"/>
  <c r="F229" i="7"/>
  <c r="E229" i="7"/>
  <c r="AZ228" i="7"/>
  <c r="AX228" i="7"/>
  <c r="AV228" i="7"/>
  <c r="AM228" i="7"/>
  <c r="AK228" i="7"/>
  <c r="AE228" i="7"/>
  <c r="Y228" i="7"/>
  <c r="AP228" i="7" s="1"/>
  <c r="S228" i="7"/>
  <c r="N228" i="7"/>
  <c r="F228" i="7"/>
  <c r="E228" i="7"/>
  <c r="AZ227" i="7"/>
  <c r="AX227" i="7"/>
  <c r="AV227" i="7"/>
  <c r="AK227" i="7"/>
  <c r="AE227" i="7"/>
  <c r="AP227" i="7" s="1"/>
  <c r="Y227" i="7"/>
  <c r="S227" i="7"/>
  <c r="L227" i="7" s="1"/>
  <c r="N227" i="7"/>
  <c r="AM227" i="7" s="1"/>
  <c r="F227" i="7"/>
  <c r="E227" i="7"/>
  <c r="AZ226" i="7"/>
  <c r="AX226" i="7"/>
  <c r="AV226" i="7"/>
  <c r="AP226" i="7"/>
  <c r="AN226" i="7"/>
  <c r="AK226" i="7"/>
  <c r="AE226" i="7"/>
  <c r="Y226" i="7"/>
  <c r="S226" i="7"/>
  <c r="N226" i="7"/>
  <c r="AM226" i="7" s="1"/>
  <c r="AQ226" i="7" s="1"/>
  <c r="L226" i="7"/>
  <c r="F226" i="7"/>
  <c r="E226" i="7"/>
  <c r="AZ225" i="7"/>
  <c r="AX225" i="7"/>
  <c r="AV225" i="7"/>
  <c r="AN225" i="7"/>
  <c r="AM225" i="7"/>
  <c r="AQ225" i="7" s="1"/>
  <c r="AK225" i="7"/>
  <c r="AE225" i="7"/>
  <c r="Y225" i="7"/>
  <c r="AP225" i="7" s="1"/>
  <c r="S225" i="7"/>
  <c r="N225" i="7"/>
  <c r="L225" i="7"/>
  <c r="F225" i="7"/>
  <c r="E225" i="7"/>
  <c r="AZ224" i="7"/>
  <c r="AX224" i="7"/>
  <c r="AV224" i="7"/>
  <c r="AM224" i="7"/>
  <c r="AK224" i="7"/>
  <c r="AE224" i="7"/>
  <c r="Y224" i="7"/>
  <c r="AP224" i="7" s="1"/>
  <c r="S224" i="7"/>
  <c r="N224" i="7"/>
  <c r="F224" i="7"/>
  <c r="E224" i="7"/>
  <c r="AV223" i="7"/>
  <c r="AN223" i="7"/>
  <c r="AM223" i="7"/>
  <c r="AQ223" i="7" s="1"/>
  <c r="AK223" i="7"/>
  <c r="AE223" i="7"/>
  <c r="L223" i="7" s="1"/>
  <c r="Y223" i="7"/>
  <c r="AP223" i="7" s="1"/>
  <c r="S223" i="7"/>
  <c r="N223" i="7"/>
  <c r="F223" i="7"/>
  <c r="E223" i="7"/>
  <c r="AX222" i="7"/>
  <c r="AV222" i="7"/>
  <c r="AU222" i="7"/>
  <c r="AT222" i="7"/>
  <c r="AZ222" i="7" s="1"/>
  <c r="AS222" i="7"/>
  <c r="AP222" i="7"/>
  <c r="AK222" i="7"/>
  <c r="AE222" i="7"/>
  <c r="Y222" i="7"/>
  <c r="S222" i="7"/>
  <c r="AN222" i="7" s="1"/>
  <c r="AQ222" i="7" s="1"/>
  <c r="N222" i="7"/>
  <c r="AM222" i="7" s="1"/>
  <c r="L222" i="7"/>
  <c r="F222" i="7"/>
  <c r="E222" i="7"/>
  <c r="AZ221" i="7"/>
  <c r="AX221" i="7"/>
  <c r="AV221" i="7"/>
  <c r="AP221" i="7"/>
  <c r="AN221" i="7"/>
  <c r="AK221" i="7"/>
  <c r="AE221" i="7"/>
  <c r="Y221" i="7"/>
  <c r="S221" i="7"/>
  <c r="N221" i="7"/>
  <c r="AM221" i="7" s="1"/>
  <c r="L221" i="7"/>
  <c r="F221" i="7"/>
  <c r="E221" i="7"/>
  <c r="AZ220" i="7"/>
  <c r="AX220" i="7"/>
  <c r="AV220" i="7"/>
  <c r="AN220" i="7"/>
  <c r="AM220" i="7"/>
  <c r="AQ220" i="7" s="1"/>
  <c r="AK220" i="7"/>
  <c r="AE220" i="7"/>
  <c r="Y220" i="7"/>
  <c r="AP220" i="7" s="1"/>
  <c r="S220" i="7"/>
  <c r="L220" i="7" s="1"/>
  <c r="N220" i="7"/>
  <c r="F220" i="7"/>
  <c r="E220" i="7"/>
  <c r="AZ219" i="7"/>
  <c r="AX219" i="7"/>
  <c r="AV219" i="7"/>
  <c r="AM219" i="7"/>
  <c r="AK219" i="7"/>
  <c r="AE219" i="7"/>
  <c r="Y219" i="7"/>
  <c r="AP219" i="7" s="1"/>
  <c r="S219" i="7"/>
  <c r="AN219" i="7" s="1"/>
  <c r="N219" i="7"/>
  <c r="L219" i="7"/>
  <c r="F219" i="7"/>
  <c r="E219" i="7"/>
  <c r="AZ218" i="7"/>
  <c r="AX218" i="7"/>
  <c r="AV218" i="7"/>
  <c r="AK218" i="7"/>
  <c r="AE218" i="7"/>
  <c r="AP218" i="7" s="1"/>
  <c r="Y218" i="7"/>
  <c r="S218" i="7"/>
  <c r="L218" i="7" s="1"/>
  <c r="N218" i="7"/>
  <c r="AM218" i="7" s="1"/>
  <c r="F218" i="7"/>
  <c r="E218" i="7"/>
  <c r="AP217" i="7"/>
  <c r="AK217" i="7"/>
  <c r="AE217" i="7"/>
  <c r="Y217" i="7"/>
  <c r="S217" i="7"/>
  <c r="AN217" i="7" s="1"/>
  <c r="N217" i="7"/>
  <c r="AM217" i="7" s="1"/>
  <c r="AQ217" i="7" s="1"/>
  <c r="M217" i="7"/>
  <c r="F217" i="7"/>
  <c r="E217" i="7"/>
  <c r="AZ216" i="7"/>
  <c r="AX216" i="7"/>
  <c r="AV216" i="7"/>
  <c r="AP216" i="7"/>
  <c r="AK216" i="7"/>
  <c r="AE216" i="7"/>
  <c r="Y216" i="7"/>
  <c r="S216" i="7"/>
  <c r="AN216" i="7" s="1"/>
  <c r="N216" i="7"/>
  <c r="AM216" i="7" s="1"/>
  <c r="AQ216" i="7" s="1"/>
  <c r="L216" i="7"/>
  <c r="F216" i="7"/>
  <c r="E216" i="7"/>
  <c r="AZ215" i="7"/>
  <c r="AX215" i="7"/>
  <c r="AV215" i="7"/>
  <c r="AN215" i="7"/>
  <c r="AK215" i="7"/>
  <c r="AE215" i="7"/>
  <c r="AP215" i="7" s="1"/>
  <c r="Y215" i="7"/>
  <c r="S215" i="7"/>
  <c r="N215" i="7"/>
  <c r="AM215" i="7" s="1"/>
  <c r="L215" i="7"/>
  <c r="F215" i="7"/>
  <c r="E215" i="7"/>
  <c r="AZ214" i="7"/>
  <c r="AX214" i="7"/>
  <c r="AV214" i="7"/>
  <c r="AN214" i="7"/>
  <c r="AM214" i="7"/>
  <c r="AK214" i="7"/>
  <c r="AE214" i="7"/>
  <c r="Y214" i="7"/>
  <c r="AP214" i="7" s="1"/>
  <c r="S214" i="7"/>
  <c r="N214" i="7"/>
  <c r="L214" i="7"/>
  <c r="F214" i="7"/>
  <c r="E214" i="7"/>
  <c r="AZ213" i="7"/>
  <c r="AX213" i="7"/>
  <c r="AV213" i="7"/>
  <c r="AM213" i="7"/>
  <c r="AK213" i="7"/>
  <c r="AE213" i="7"/>
  <c r="Y213" i="7"/>
  <c r="AP213" i="7" s="1"/>
  <c r="S213" i="7"/>
  <c r="N213" i="7"/>
  <c r="F213" i="7"/>
  <c r="E213" i="7"/>
  <c r="AZ212" i="7"/>
  <c r="AX212" i="7"/>
  <c r="AV212" i="7"/>
  <c r="AP212" i="7"/>
  <c r="AK212" i="7"/>
  <c r="AE212" i="7"/>
  <c r="Y212" i="7"/>
  <c r="S212" i="7"/>
  <c r="L212" i="7" s="1"/>
  <c r="N212" i="7"/>
  <c r="AM212" i="7" s="1"/>
  <c r="F212" i="7"/>
  <c r="E212" i="7"/>
  <c r="AZ211" i="7"/>
  <c r="AX211" i="7"/>
  <c r="AV211" i="7"/>
  <c r="AP211" i="7"/>
  <c r="AN211" i="7"/>
  <c r="AK211" i="7"/>
  <c r="AE211" i="7"/>
  <c r="AE207" i="7" s="1"/>
  <c r="Y211" i="7"/>
  <c r="S211" i="7"/>
  <c r="N211" i="7"/>
  <c r="AM211" i="7" s="1"/>
  <c r="L211" i="7"/>
  <c r="F211" i="7"/>
  <c r="E211" i="7"/>
  <c r="AZ210" i="7"/>
  <c r="AX210" i="7"/>
  <c r="AV210" i="7"/>
  <c r="AN210" i="7"/>
  <c r="AM210" i="7"/>
  <c r="AQ210" i="7" s="1"/>
  <c r="AK210" i="7"/>
  <c r="AE210" i="7"/>
  <c r="Y210" i="7"/>
  <c r="AP210" i="7" s="1"/>
  <c r="S210" i="7"/>
  <c r="N210" i="7"/>
  <c r="L210" i="7"/>
  <c r="F210" i="7"/>
  <c r="E210" i="7"/>
  <c r="AZ209" i="7"/>
  <c r="AX209" i="7"/>
  <c r="AV209" i="7"/>
  <c r="AM209" i="7"/>
  <c r="AQ209" i="7" s="1"/>
  <c r="AK209" i="7"/>
  <c r="AE209" i="7"/>
  <c r="L209" i="7" s="1"/>
  <c r="Y209" i="7"/>
  <c r="AP209" i="7" s="1"/>
  <c r="S209" i="7"/>
  <c r="AN209" i="7" s="1"/>
  <c r="N209" i="7"/>
  <c r="F209" i="7"/>
  <c r="E209" i="7"/>
  <c r="AV208" i="7"/>
  <c r="AN208" i="7"/>
  <c r="AM208" i="7"/>
  <c r="AQ208" i="7" s="1"/>
  <c r="AK208" i="7"/>
  <c r="AE208" i="7"/>
  <c r="L208" i="7" s="1"/>
  <c r="Y208" i="7"/>
  <c r="AP208" i="7" s="1"/>
  <c r="S208" i="7"/>
  <c r="N208" i="7"/>
  <c r="F208" i="7"/>
  <c r="E208" i="7"/>
  <c r="AH207" i="7"/>
  <c r="AD207" i="7"/>
  <c r="AC207" i="7"/>
  <c r="AB207" i="7"/>
  <c r="X207" i="7"/>
  <c r="W207" i="7"/>
  <c r="V207" i="7"/>
  <c r="U207" i="7"/>
  <c r="T207" i="7"/>
  <c r="R207" i="7"/>
  <c r="Q207" i="7"/>
  <c r="P207" i="7"/>
  <c r="K207" i="7"/>
  <c r="J207" i="7"/>
  <c r="E207" i="7"/>
  <c r="AV206" i="7"/>
  <c r="AP206" i="7"/>
  <c r="AN206" i="7"/>
  <c r="AK206" i="7"/>
  <c r="AE206" i="7"/>
  <c r="L206" i="7" s="1"/>
  <c r="AD206" i="7"/>
  <c r="Y206" i="7"/>
  <c r="S206" i="7"/>
  <c r="N206" i="7"/>
  <c r="AM206" i="7" s="1"/>
  <c r="F206" i="7"/>
  <c r="E206" i="7"/>
  <c r="AK205" i="7"/>
  <c r="AE205" i="7"/>
  <c r="AP205" i="7" s="1"/>
  <c r="Y205" i="7"/>
  <c r="S205" i="7"/>
  <c r="N205" i="7"/>
  <c r="AM205" i="7" s="1"/>
  <c r="F205" i="7"/>
  <c r="E205" i="7"/>
  <c r="AQ204" i="7"/>
  <c r="AP204" i="7"/>
  <c r="AM204" i="7"/>
  <c r="AK204" i="7"/>
  <c r="AE204" i="7"/>
  <c r="Y204" i="7"/>
  <c r="S204" i="7"/>
  <c r="AN204" i="7" s="1"/>
  <c r="N204" i="7"/>
  <c r="L204" i="7"/>
  <c r="F204" i="7"/>
  <c r="E204" i="7"/>
  <c r="AV203" i="7"/>
  <c r="AM203" i="7"/>
  <c r="AK203" i="7"/>
  <c r="AE203" i="7"/>
  <c r="L203" i="7" s="1"/>
  <c r="Y203" i="7"/>
  <c r="AP203" i="7" s="1"/>
  <c r="S203" i="7"/>
  <c r="N203" i="7"/>
  <c r="F203" i="7"/>
  <c r="E203" i="7"/>
  <c r="AV202" i="7"/>
  <c r="AN202" i="7"/>
  <c r="AM202" i="7"/>
  <c r="AK202" i="7"/>
  <c r="AE202" i="7"/>
  <c r="Y202" i="7"/>
  <c r="AP202" i="7" s="1"/>
  <c r="S202" i="7"/>
  <c r="N202" i="7"/>
  <c r="L202" i="7"/>
  <c r="F202" i="7"/>
  <c r="E202" i="7"/>
  <c r="AN201" i="7"/>
  <c r="AM201" i="7"/>
  <c r="AK201" i="7"/>
  <c r="AE201" i="7"/>
  <c r="Y201" i="7"/>
  <c r="AP201" i="7" s="1"/>
  <c r="S201" i="7"/>
  <c r="N201" i="7"/>
  <c r="L201" i="7"/>
  <c r="F201" i="7"/>
  <c r="E201" i="7"/>
  <c r="AV200" i="7"/>
  <c r="AP200" i="7"/>
  <c r="AN200" i="7"/>
  <c r="AK200" i="7"/>
  <c r="AE200" i="7"/>
  <c r="Y200" i="7"/>
  <c r="S200" i="7"/>
  <c r="N200" i="7"/>
  <c r="AM200" i="7" s="1"/>
  <c r="AQ200" i="7" s="1"/>
  <c r="L200" i="7"/>
  <c r="F200" i="7"/>
  <c r="E200" i="7"/>
  <c r="AV199" i="7"/>
  <c r="AP199" i="7"/>
  <c r="AM199" i="7"/>
  <c r="AK199" i="7"/>
  <c r="AE199" i="7"/>
  <c r="L199" i="7" s="1"/>
  <c r="AD199" i="7"/>
  <c r="Y199" i="7"/>
  <c r="S199" i="7"/>
  <c r="AN199" i="7" s="1"/>
  <c r="AQ199" i="7" s="1"/>
  <c r="N199" i="7"/>
  <c r="F199" i="7"/>
  <c r="E199" i="7"/>
  <c r="AM198" i="7"/>
  <c r="AK198" i="7"/>
  <c r="AE198" i="7"/>
  <c r="Y198" i="7"/>
  <c r="AP198" i="7" s="1"/>
  <c r="S198" i="7"/>
  <c r="N198" i="7"/>
  <c r="F198" i="7"/>
  <c r="E198" i="7"/>
  <c r="AZ197" i="7"/>
  <c r="AX197" i="7"/>
  <c r="AV197" i="7"/>
  <c r="AP197" i="7"/>
  <c r="AK197" i="7"/>
  <c r="AE197" i="7"/>
  <c r="Y197" i="7"/>
  <c r="S197" i="7"/>
  <c r="N197" i="7"/>
  <c r="AM197" i="7" s="1"/>
  <c r="F197" i="7"/>
  <c r="E197" i="7"/>
  <c r="AP196" i="7"/>
  <c r="AM196" i="7"/>
  <c r="AQ196" i="7" s="1"/>
  <c r="AK196" i="7"/>
  <c r="AE196" i="7"/>
  <c r="Y196" i="7"/>
  <c r="S196" i="7"/>
  <c r="AN196" i="7" s="1"/>
  <c r="N196" i="7"/>
  <c r="F196" i="7"/>
  <c r="E196" i="7"/>
  <c r="AZ195" i="7"/>
  <c r="AX195" i="7"/>
  <c r="AV195" i="7"/>
  <c r="AN195" i="7"/>
  <c r="AM195" i="7"/>
  <c r="AK195" i="7"/>
  <c r="AE195" i="7"/>
  <c r="Y195" i="7"/>
  <c r="S195" i="7"/>
  <c r="N195" i="7"/>
  <c r="F195" i="7"/>
  <c r="E195" i="7"/>
  <c r="AP194" i="7"/>
  <c r="AN194" i="7"/>
  <c r="AM194" i="7"/>
  <c r="AK194" i="7"/>
  <c r="AE194" i="7"/>
  <c r="Y194" i="7"/>
  <c r="S194" i="7"/>
  <c r="N194" i="7"/>
  <c r="L194" i="7"/>
  <c r="F194" i="7"/>
  <c r="E194" i="7"/>
  <c r="AZ193" i="7"/>
  <c r="AX193" i="7"/>
  <c r="AV193" i="7"/>
  <c r="AN193" i="7"/>
  <c r="AM193" i="7"/>
  <c r="AK193" i="7"/>
  <c r="AE193" i="7"/>
  <c r="Y193" i="7"/>
  <c r="AP193" i="7" s="1"/>
  <c r="S193" i="7"/>
  <c r="L193" i="7" s="1"/>
  <c r="N193" i="7"/>
  <c r="F193" i="7"/>
  <c r="E193" i="7"/>
  <c r="AM192" i="7"/>
  <c r="AK192" i="7"/>
  <c r="AE192" i="7"/>
  <c r="Y192" i="7"/>
  <c r="AP192" i="7" s="1"/>
  <c r="S192" i="7"/>
  <c r="N192" i="7"/>
  <c r="F192" i="7"/>
  <c r="E192" i="7"/>
  <c r="AM191" i="7"/>
  <c r="AK191" i="7"/>
  <c r="AE191" i="7"/>
  <c r="Y191" i="7"/>
  <c r="AP191" i="7" s="1"/>
  <c r="S191" i="7"/>
  <c r="N191" i="7"/>
  <c r="F191" i="7"/>
  <c r="E191" i="7"/>
  <c r="AM190" i="7"/>
  <c r="AK190" i="7"/>
  <c r="AE190" i="7"/>
  <c r="Y190" i="7"/>
  <c r="AP190" i="7" s="1"/>
  <c r="S190" i="7"/>
  <c r="N190" i="7"/>
  <c r="F190" i="7"/>
  <c r="E190" i="7"/>
  <c r="AZ189" i="7"/>
  <c r="AX189" i="7"/>
  <c r="AV189" i="7"/>
  <c r="AP189" i="7"/>
  <c r="AK189" i="7"/>
  <c r="AE189" i="7"/>
  <c r="Y189" i="7"/>
  <c r="S189" i="7"/>
  <c r="N189" i="7"/>
  <c r="AM189" i="7" s="1"/>
  <c r="F189" i="7"/>
  <c r="E189" i="7"/>
  <c r="AZ188" i="7"/>
  <c r="AX188" i="7"/>
  <c r="AV188" i="7"/>
  <c r="AP188" i="7"/>
  <c r="AN188" i="7"/>
  <c r="AK188" i="7"/>
  <c r="AE188" i="7"/>
  <c r="Y188" i="7"/>
  <c r="S188" i="7"/>
  <c r="N188" i="7"/>
  <c r="AM188" i="7" s="1"/>
  <c r="AQ188" i="7" s="1"/>
  <c r="L188" i="7"/>
  <c r="F188" i="7"/>
  <c r="E188" i="7"/>
  <c r="AZ187" i="7"/>
  <c r="AX187" i="7"/>
  <c r="AV187" i="7"/>
  <c r="AN187" i="7"/>
  <c r="AM187" i="7"/>
  <c r="AK187" i="7"/>
  <c r="AE187" i="7"/>
  <c r="Y187" i="7"/>
  <c r="AP187" i="7" s="1"/>
  <c r="S187" i="7"/>
  <c r="L187" i="7" s="1"/>
  <c r="N187" i="7"/>
  <c r="F187" i="7"/>
  <c r="E187" i="7"/>
  <c r="AU186" i="7"/>
  <c r="AT186" i="7"/>
  <c r="AS186" i="7"/>
  <c r="AN186" i="7"/>
  <c r="AM186" i="7"/>
  <c r="AK186" i="7"/>
  <c r="AE186" i="7"/>
  <c r="Y186" i="7"/>
  <c r="AP186" i="7" s="1"/>
  <c r="S186" i="7"/>
  <c r="N186" i="7"/>
  <c r="L186" i="7"/>
  <c r="F186" i="7"/>
  <c r="E186" i="7"/>
  <c r="AV185" i="7"/>
  <c r="AM185" i="7"/>
  <c r="AK185" i="7"/>
  <c r="AE185" i="7"/>
  <c r="Y185" i="7"/>
  <c r="AP185" i="7" s="1"/>
  <c r="S185" i="7"/>
  <c r="L185" i="7" s="1"/>
  <c r="N185" i="7"/>
  <c r="F185" i="7"/>
  <c r="E185" i="7"/>
  <c r="AV184" i="7"/>
  <c r="AP184" i="7"/>
  <c r="AK184" i="7"/>
  <c r="AE184" i="7"/>
  <c r="AD184" i="7"/>
  <c r="Y184" i="7"/>
  <c r="S184" i="7"/>
  <c r="AN184" i="7" s="1"/>
  <c r="N184" i="7"/>
  <c r="AM184" i="7" s="1"/>
  <c r="AQ184" i="7" s="1"/>
  <c r="L184" i="7"/>
  <c r="F184" i="7"/>
  <c r="E184" i="7"/>
  <c r="AP183" i="7"/>
  <c r="AK183" i="7"/>
  <c r="AE183" i="7"/>
  <c r="Y183" i="7"/>
  <c r="S183" i="7"/>
  <c r="N183" i="7"/>
  <c r="AM183" i="7" s="1"/>
  <c r="F183" i="7"/>
  <c r="E183" i="7"/>
  <c r="AP182" i="7"/>
  <c r="AK182" i="7"/>
  <c r="AE182" i="7"/>
  <c r="Y182" i="7"/>
  <c r="S182" i="7"/>
  <c r="AN182" i="7" s="1"/>
  <c r="N182" i="7"/>
  <c r="AM182" i="7" s="1"/>
  <c r="AQ182" i="7" s="1"/>
  <c r="L182" i="7"/>
  <c r="F182" i="7"/>
  <c r="E182" i="7"/>
  <c r="AK181" i="7"/>
  <c r="AK179" i="7" s="1"/>
  <c r="AE181" i="7"/>
  <c r="AP181" i="7" s="1"/>
  <c r="Y181" i="7"/>
  <c r="S181" i="7"/>
  <c r="N181" i="7"/>
  <c r="AM181" i="7" s="1"/>
  <c r="F181" i="7"/>
  <c r="E181" i="7"/>
  <c r="AP180" i="7"/>
  <c r="AK180" i="7"/>
  <c r="AE180" i="7"/>
  <c r="Y180" i="7"/>
  <c r="Y179" i="7" s="1"/>
  <c r="S180" i="7"/>
  <c r="AN180" i="7" s="1"/>
  <c r="N180" i="7"/>
  <c r="AM180" i="7" s="1"/>
  <c r="AQ180" i="7" s="1"/>
  <c r="L180" i="7"/>
  <c r="F180" i="7"/>
  <c r="E180" i="7"/>
  <c r="AH179" i="7"/>
  <c r="AD179" i="7"/>
  <c r="AC179" i="7"/>
  <c r="AB179" i="7"/>
  <c r="X179" i="7"/>
  <c r="W179" i="7"/>
  <c r="V179" i="7"/>
  <c r="U179" i="7"/>
  <c r="T179" i="7"/>
  <c r="R179" i="7"/>
  <c r="Q179" i="7"/>
  <c r="P179" i="7"/>
  <c r="K179" i="7"/>
  <c r="E179" i="7"/>
  <c r="AZ178" i="7"/>
  <c r="AX178" i="7"/>
  <c r="AV178" i="7"/>
  <c r="AP178" i="7"/>
  <c r="AN178" i="7"/>
  <c r="AM178" i="7"/>
  <c r="AK178" i="7"/>
  <c r="AE178" i="7"/>
  <c r="Y178" i="7"/>
  <c r="S178" i="7"/>
  <c r="L178" i="7" s="1"/>
  <c r="N178" i="7"/>
  <c r="F178" i="7"/>
  <c r="E178" i="7"/>
  <c r="AK177" i="7"/>
  <c r="AE177" i="7"/>
  <c r="Y177" i="7"/>
  <c r="AP177" i="7" s="1"/>
  <c r="S177" i="7"/>
  <c r="N177" i="7"/>
  <c r="AM177" i="7" s="1"/>
  <c r="F177" i="7"/>
  <c r="E177" i="7"/>
  <c r="AZ176" i="7"/>
  <c r="AX176" i="7"/>
  <c r="AV176" i="7"/>
  <c r="AP176" i="7"/>
  <c r="AK176" i="7"/>
  <c r="AE176" i="7"/>
  <c r="Y176" i="7"/>
  <c r="S176" i="7"/>
  <c r="L176" i="7" s="1"/>
  <c r="N176" i="7"/>
  <c r="AM176" i="7" s="1"/>
  <c r="F176" i="7"/>
  <c r="E176" i="7"/>
  <c r="AZ175" i="7"/>
  <c r="AX175" i="7"/>
  <c r="AV175" i="7"/>
  <c r="AP175" i="7"/>
  <c r="AN175" i="7"/>
  <c r="AK175" i="7"/>
  <c r="AE175" i="7"/>
  <c r="Y175" i="7"/>
  <c r="S175" i="7"/>
  <c r="N175" i="7"/>
  <c r="AM175" i="7" s="1"/>
  <c r="AQ175" i="7" s="1"/>
  <c r="L175" i="7"/>
  <c r="F175" i="7"/>
  <c r="E175" i="7"/>
  <c r="AM174" i="7"/>
  <c r="AK174" i="7"/>
  <c r="AE174" i="7"/>
  <c r="Y174" i="7"/>
  <c r="S174" i="7"/>
  <c r="AN174" i="7" s="1"/>
  <c r="N174" i="7"/>
  <c r="F174" i="7"/>
  <c r="E174" i="7"/>
  <c r="AP173" i="7"/>
  <c r="AN173" i="7"/>
  <c r="AM173" i="7"/>
  <c r="AK173" i="7"/>
  <c r="AE173" i="7"/>
  <c r="Y173" i="7"/>
  <c r="S173" i="7"/>
  <c r="L173" i="7" s="1"/>
  <c r="N173" i="7"/>
  <c r="F173" i="7"/>
  <c r="E173" i="7"/>
  <c r="AZ172" i="7"/>
  <c r="AX172" i="7"/>
  <c r="AV172" i="7"/>
  <c r="AN172" i="7"/>
  <c r="AM172" i="7"/>
  <c r="AQ172" i="7" s="1"/>
  <c r="AK172" i="7"/>
  <c r="AE172" i="7"/>
  <c r="Y172" i="7"/>
  <c r="AP172" i="7" s="1"/>
  <c r="S172" i="7"/>
  <c r="L172" i="7" s="1"/>
  <c r="N172" i="7"/>
  <c r="F172" i="7"/>
  <c r="E172" i="7"/>
  <c r="AZ171" i="7"/>
  <c r="AX171" i="7"/>
  <c r="AV171" i="7"/>
  <c r="AP171" i="7"/>
  <c r="AM171" i="7"/>
  <c r="AK171" i="7"/>
  <c r="AE171" i="7"/>
  <c r="AE170" i="7" s="1"/>
  <c r="Y171" i="7"/>
  <c r="S171" i="7"/>
  <c r="AN171" i="7" s="1"/>
  <c r="N171" i="7"/>
  <c r="L171" i="7"/>
  <c r="F171" i="7"/>
  <c r="E171" i="7"/>
  <c r="AK170" i="7"/>
  <c r="AH170" i="7"/>
  <c r="R170" i="7"/>
  <c r="Q170" i="7"/>
  <c r="P170" i="7"/>
  <c r="M170" i="7"/>
  <c r="K170" i="7"/>
  <c r="J170" i="7"/>
  <c r="E170" i="7"/>
  <c r="AN169" i="7"/>
  <c r="AM169" i="7"/>
  <c r="AQ169" i="7" s="1"/>
  <c r="AK169" i="7"/>
  <c r="AE169" i="7"/>
  <c r="Y169" i="7"/>
  <c r="AP169" i="7" s="1"/>
  <c r="S169" i="7"/>
  <c r="L169" i="7" s="1"/>
  <c r="N169" i="7"/>
  <c r="F169" i="7"/>
  <c r="E169" i="7"/>
  <c r="AZ168" i="7"/>
  <c r="AX168" i="7"/>
  <c r="AV168" i="7"/>
  <c r="AP168" i="7"/>
  <c r="AM168" i="7"/>
  <c r="AK168" i="7"/>
  <c r="AE168" i="7"/>
  <c r="Y168" i="7"/>
  <c r="S168" i="7"/>
  <c r="AN168" i="7" s="1"/>
  <c r="N168" i="7"/>
  <c r="L168" i="7"/>
  <c r="F168" i="7"/>
  <c r="E168" i="7"/>
  <c r="AZ167" i="7"/>
  <c r="AX167" i="7"/>
  <c r="AV167" i="7"/>
  <c r="AN167" i="7"/>
  <c r="AK167" i="7"/>
  <c r="AE167" i="7"/>
  <c r="Y167" i="7"/>
  <c r="AP167" i="7" s="1"/>
  <c r="S167" i="7"/>
  <c r="N167" i="7"/>
  <c r="AM167" i="7" s="1"/>
  <c r="F167" i="7"/>
  <c r="E167" i="7"/>
  <c r="AZ166" i="7"/>
  <c r="AX166" i="7"/>
  <c r="AV166" i="7"/>
  <c r="AM166" i="7"/>
  <c r="AK166" i="7"/>
  <c r="AE166" i="7"/>
  <c r="L166" i="7" s="1"/>
  <c r="Y166" i="7"/>
  <c r="AP166" i="7" s="1"/>
  <c r="S166" i="7"/>
  <c r="AN166" i="7" s="1"/>
  <c r="N166" i="7"/>
  <c r="F166" i="7"/>
  <c r="E166" i="7"/>
  <c r="AP165" i="7"/>
  <c r="AM165" i="7"/>
  <c r="AK165" i="7"/>
  <c r="AE165" i="7"/>
  <c r="Y165" i="7"/>
  <c r="S165" i="7"/>
  <c r="N165" i="7"/>
  <c r="F165" i="7"/>
  <c r="E165" i="7"/>
  <c r="AZ164" i="7"/>
  <c r="AX164" i="7"/>
  <c r="AV164" i="7"/>
  <c r="AN164" i="7"/>
  <c r="AK164" i="7"/>
  <c r="AE164" i="7"/>
  <c r="L164" i="7" s="1"/>
  <c r="Y164" i="7"/>
  <c r="AP164" i="7" s="1"/>
  <c r="S164" i="7"/>
  <c r="N164" i="7"/>
  <c r="AM164" i="7" s="1"/>
  <c r="AQ164" i="7" s="1"/>
  <c r="F164" i="7"/>
  <c r="E164" i="7"/>
  <c r="AZ163" i="7"/>
  <c r="AX163" i="7"/>
  <c r="AV163" i="7"/>
  <c r="AP163" i="7"/>
  <c r="AM163" i="7"/>
  <c r="AK163" i="7"/>
  <c r="AE163" i="7"/>
  <c r="Y163" i="7"/>
  <c r="S163" i="7"/>
  <c r="AN163" i="7" s="1"/>
  <c r="N163" i="7"/>
  <c r="L163" i="7"/>
  <c r="F163" i="7"/>
  <c r="E163" i="7"/>
  <c r="AZ162" i="7"/>
  <c r="AX162" i="7"/>
  <c r="AV162" i="7"/>
  <c r="AN162" i="7"/>
  <c r="AK162" i="7"/>
  <c r="AE162" i="7"/>
  <c r="L162" i="7" s="1"/>
  <c r="Y162" i="7"/>
  <c r="AP162" i="7" s="1"/>
  <c r="S162" i="7"/>
  <c r="N162" i="7"/>
  <c r="AM162" i="7" s="1"/>
  <c r="AQ162" i="7" s="1"/>
  <c r="F162" i="7"/>
  <c r="E162" i="7"/>
  <c r="AZ161" i="7"/>
  <c r="AX161" i="7"/>
  <c r="AV161" i="7"/>
  <c r="AM161" i="7"/>
  <c r="AK161" i="7"/>
  <c r="AE161" i="7"/>
  <c r="L161" i="7" s="1"/>
  <c r="Y161" i="7"/>
  <c r="AP161" i="7" s="1"/>
  <c r="S161" i="7"/>
  <c r="AN161" i="7" s="1"/>
  <c r="N161" i="7"/>
  <c r="F161" i="7"/>
  <c r="E161" i="7"/>
  <c r="AZ160" i="7"/>
  <c r="AX160" i="7"/>
  <c r="AV160" i="7"/>
  <c r="AK160" i="7"/>
  <c r="AE160" i="7"/>
  <c r="Y160" i="7"/>
  <c r="AP160" i="7" s="1"/>
  <c r="S160" i="7"/>
  <c r="AN160" i="7" s="1"/>
  <c r="N160" i="7"/>
  <c r="AM160" i="7" s="1"/>
  <c r="AQ160" i="7" s="1"/>
  <c r="L160" i="7"/>
  <c r="F160" i="7"/>
  <c r="E160" i="7"/>
  <c r="AQ159" i="7"/>
  <c r="AN159" i="7"/>
  <c r="AK159" i="7"/>
  <c r="AE159" i="7"/>
  <c r="Y159" i="7"/>
  <c r="AP159" i="7" s="1"/>
  <c r="S159" i="7"/>
  <c r="L159" i="7" s="1"/>
  <c r="N159" i="7"/>
  <c r="AM159" i="7" s="1"/>
  <c r="F159" i="7"/>
  <c r="E159" i="7"/>
  <c r="AZ158" i="7"/>
  <c r="AX158" i="7"/>
  <c r="AV158" i="7"/>
  <c r="AP158" i="7"/>
  <c r="AM158" i="7"/>
  <c r="AK158" i="7"/>
  <c r="AE158" i="7"/>
  <c r="Y158" i="7"/>
  <c r="S158" i="7"/>
  <c r="AN158" i="7" s="1"/>
  <c r="N158" i="7"/>
  <c r="L158" i="7"/>
  <c r="F158" i="7"/>
  <c r="E158" i="7"/>
  <c r="AZ157" i="7"/>
  <c r="AX157" i="7"/>
  <c r="AV157" i="7"/>
  <c r="AN157" i="7"/>
  <c r="AK157" i="7"/>
  <c r="AE157" i="7"/>
  <c r="Y157" i="7"/>
  <c r="AP157" i="7" s="1"/>
  <c r="S157" i="7"/>
  <c r="N157" i="7"/>
  <c r="AM157" i="7" s="1"/>
  <c r="AQ157" i="7" s="1"/>
  <c r="F157" i="7"/>
  <c r="E157" i="7"/>
  <c r="AZ156" i="7"/>
  <c r="AX156" i="7"/>
  <c r="AV156" i="7"/>
  <c r="AM156" i="7"/>
  <c r="AK156" i="7"/>
  <c r="AE156" i="7"/>
  <c r="Y156" i="7"/>
  <c r="AP156" i="7" s="1"/>
  <c r="S156" i="7"/>
  <c r="L156" i="7" s="1"/>
  <c r="N156" i="7"/>
  <c r="F156" i="7"/>
  <c r="E156" i="7"/>
  <c r="AZ155" i="7"/>
  <c r="AX155" i="7"/>
  <c r="AV155" i="7"/>
  <c r="AK155" i="7"/>
  <c r="AK154" i="7" s="1"/>
  <c r="AE155" i="7"/>
  <c r="Y155" i="7"/>
  <c r="S155" i="7"/>
  <c r="N155" i="7"/>
  <c r="AM155" i="7" s="1"/>
  <c r="F155" i="7"/>
  <c r="E155" i="7"/>
  <c r="AD154" i="7"/>
  <c r="AC154" i="7"/>
  <c r="AB154" i="7"/>
  <c r="R154" i="7"/>
  <c r="Q154" i="7"/>
  <c r="P154" i="7"/>
  <c r="K154" i="7"/>
  <c r="J154" i="7"/>
  <c r="E154" i="7"/>
  <c r="AN153" i="7"/>
  <c r="AK153" i="7"/>
  <c r="AE153" i="7"/>
  <c r="Y153" i="7"/>
  <c r="S153" i="7"/>
  <c r="N153" i="7"/>
  <c r="AM153" i="7" s="1"/>
  <c r="F153" i="7"/>
  <c r="E153" i="7"/>
  <c r="AP152" i="7"/>
  <c r="AN152" i="7"/>
  <c r="AK152" i="7"/>
  <c r="S152" i="7"/>
  <c r="N152" i="7"/>
  <c r="AM152" i="7" s="1"/>
  <c r="AQ152" i="7" s="1"/>
  <c r="L152" i="7"/>
  <c r="F152" i="7"/>
  <c r="E152" i="7"/>
  <c r="AZ151" i="7"/>
  <c r="AX151" i="7"/>
  <c r="AV151" i="7"/>
  <c r="AP151" i="7"/>
  <c r="AM151" i="7"/>
  <c r="AQ151" i="7" s="1"/>
  <c r="AK151" i="7"/>
  <c r="AE151" i="7"/>
  <c r="Y151" i="7"/>
  <c r="S151" i="7"/>
  <c r="AN151" i="7" s="1"/>
  <c r="N151" i="7"/>
  <c r="L151" i="7"/>
  <c r="F151" i="7"/>
  <c r="E151" i="7"/>
  <c r="AZ150" i="7"/>
  <c r="AX150" i="7"/>
  <c r="AV150" i="7"/>
  <c r="AN150" i="7"/>
  <c r="AK150" i="7"/>
  <c r="AE150" i="7"/>
  <c r="AE146" i="7" s="1"/>
  <c r="Y150" i="7"/>
  <c r="AP150" i="7" s="1"/>
  <c r="S150" i="7"/>
  <c r="L150" i="7" s="1"/>
  <c r="N150" i="7"/>
  <c r="AM150" i="7" s="1"/>
  <c r="AQ150" i="7" s="1"/>
  <c r="F150" i="7"/>
  <c r="E150" i="7"/>
  <c r="AN149" i="7"/>
  <c r="AK149" i="7"/>
  <c r="AE149" i="7"/>
  <c r="Y149" i="7"/>
  <c r="S149" i="7"/>
  <c r="N149" i="7"/>
  <c r="AM149" i="7" s="1"/>
  <c r="L149" i="7"/>
  <c r="F149" i="7"/>
  <c r="E149" i="7"/>
  <c r="AN148" i="7"/>
  <c r="AK148" i="7"/>
  <c r="AE148" i="7"/>
  <c r="Y148" i="7"/>
  <c r="S148" i="7"/>
  <c r="N148" i="7"/>
  <c r="AM148" i="7" s="1"/>
  <c r="F148" i="7"/>
  <c r="E148" i="7"/>
  <c r="AP147" i="7"/>
  <c r="AN147" i="7"/>
  <c r="AK147" i="7"/>
  <c r="AE147" i="7"/>
  <c r="Y147" i="7"/>
  <c r="L147" i="7" s="1"/>
  <c r="S147" i="7"/>
  <c r="N147" i="7"/>
  <c r="AM147" i="7" s="1"/>
  <c r="AQ147" i="7" s="1"/>
  <c r="F147" i="7"/>
  <c r="E147" i="7"/>
  <c r="R146" i="7"/>
  <c r="Q146" i="7"/>
  <c r="P146" i="7"/>
  <c r="K146" i="7"/>
  <c r="J146" i="7"/>
  <c r="E146" i="7"/>
  <c r="AP145" i="7"/>
  <c r="AN145" i="7"/>
  <c r="AM145" i="7"/>
  <c r="AK145" i="7"/>
  <c r="AE145" i="7"/>
  <c r="Y145" i="7"/>
  <c r="S145" i="7"/>
  <c r="N145" i="7"/>
  <c r="L145" i="7"/>
  <c r="F145" i="7"/>
  <c r="E145" i="7"/>
  <c r="AZ144" i="7"/>
  <c r="AX144" i="7"/>
  <c r="AV144" i="7"/>
  <c r="AN144" i="7"/>
  <c r="AM144" i="7"/>
  <c r="AQ144" i="7" s="1"/>
  <c r="AK144" i="7"/>
  <c r="AE144" i="7"/>
  <c r="Y144" i="7"/>
  <c r="AP144" i="7" s="1"/>
  <c r="S144" i="7"/>
  <c r="N144" i="7"/>
  <c r="L144" i="7"/>
  <c r="F144" i="7"/>
  <c r="E144" i="7"/>
  <c r="AZ143" i="7"/>
  <c r="AY143" i="7"/>
  <c r="AX143" i="7"/>
  <c r="AU143" i="7"/>
  <c r="AV143" i="7" s="1"/>
  <c r="AT143" i="7"/>
  <c r="AS143" i="7"/>
  <c r="AK143" i="7"/>
  <c r="AE143" i="7"/>
  <c r="AP143" i="7" s="1"/>
  <c r="Y143" i="7"/>
  <c r="S143" i="7"/>
  <c r="N143" i="7"/>
  <c r="AM143" i="7" s="1"/>
  <c r="F143" i="7"/>
  <c r="E143" i="7"/>
  <c r="AP142" i="7"/>
  <c r="AM142" i="7"/>
  <c r="AQ142" i="7" s="1"/>
  <c r="AK142" i="7"/>
  <c r="AE142" i="7"/>
  <c r="Y142" i="7"/>
  <c r="S142" i="7"/>
  <c r="AN142" i="7" s="1"/>
  <c r="N142" i="7"/>
  <c r="L142" i="7"/>
  <c r="F142" i="7"/>
  <c r="E142" i="7"/>
  <c r="AK141" i="7"/>
  <c r="AE141" i="7"/>
  <c r="AP141" i="7" s="1"/>
  <c r="Y141" i="7"/>
  <c r="S141" i="7"/>
  <c r="N141" i="7"/>
  <c r="AM141" i="7" s="1"/>
  <c r="F141" i="7"/>
  <c r="E141" i="7"/>
  <c r="AP140" i="7"/>
  <c r="AM140" i="7"/>
  <c r="AK140" i="7"/>
  <c r="AE140" i="7"/>
  <c r="Y140" i="7"/>
  <c r="S140" i="7"/>
  <c r="AN140" i="7" s="1"/>
  <c r="N140" i="7"/>
  <c r="L140" i="7"/>
  <c r="F140" i="7"/>
  <c r="E140" i="7"/>
  <c r="AK139" i="7"/>
  <c r="AE139" i="7"/>
  <c r="AP139" i="7" s="1"/>
  <c r="Y139" i="7"/>
  <c r="S139" i="7"/>
  <c r="N139" i="7"/>
  <c r="AM139" i="7" s="1"/>
  <c r="F139" i="7"/>
  <c r="E139" i="7"/>
  <c r="AZ138" i="7"/>
  <c r="AX138" i="7"/>
  <c r="AV138" i="7"/>
  <c r="AP138" i="7"/>
  <c r="AN138" i="7"/>
  <c r="AK138" i="7"/>
  <c r="AE138" i="7"/>
  <c r="Y138" i="7"/>
  <c r="L138" i="7" s="1"/>
  <c r="S138" i="7"/>
  <c r="N138" i="7"/>
  <c r="AM138" i="7" s="1"/>
  <c r="F138" i="7"/>
  <c r="E138" i="7"/>
  <c r="AZ137" i="7"/>
  <c r="AX137" i="7"/>
  <c r="AV137" i="7"/>
  <c r="AP137" i="7"/>
  <c r="AN137" i="7"/>
  <c r="AM137" i="7"/>
  <c r="AK137" i="7"/>
  <c r="AE137" i="7"/>
  <c r="Y137" i="7"/>
  <c r="S137" i="7"/>
  <c r="N137" i="7"/>
  <c r="L137" i="7"/>
  <c r="F137" i="7"/>
  <c r="E137" i="7"/>
  <c r="AZ136" i="7"/>
  <c r="AX136" i="7"/>
  <c r="AV136" i="7"/>
  <c r="AN136" i="7"/>
  <c r="AM136" i="7"/>
  <c r="AQ136" i="7" s="1"/>
  <c r="AK136" i="7"/>
  <c r="AE136" i="7"/>
  <c r="Y136" i="7"/>
  <c r="AP136" i="7" s="1"/>
  <c r="S136" i="7"/>
  <c r="N136" i="7"/>
  <c r="L136" i="7"/>
  <c r="F136" i="7"/>
  <c r="E136" i="7"/>
  <c r="AK135" i="7"/>
  <c r="AE135" i="7"/>
  <c r="Y135" i="7"/>
  <c r="AP135" i="7" s="1"/>
  <c r="S135" i="7"/>
  <c r="N135" i="7"/>
  <c r="AM135" i="7" s="1"/>
  <c r="F135" i="7"/>
  <c r="E135" i="7"/>
  <c r="AN134" i="7"/>
  <c r="AK134" i="7"/>
  <c r="AE134" i="7"/>
  <c r="Y134" i="7"/>
  <c r="AP134" i="7" s="1"/>
  <c r="S134" i="7"/>
  <c r="N134" i="7"/>
  <c r="AM134" i="7" s="1"/>
  <c r="AQ134" i="7" s="1"/>
  <c r="F134" i="7"/>
  <c r="E134" i="7"/>
  <c r="AK133" i="7"/>
  <c r="AE133" i="7"/>
  <c r="Y133" i="7"/>
  <c r="AP133" i="7" s="1"/>
  <c r="S133" i="7"/>
  <c r="N133" i="7"/>
  <c r="AM133" i="7" s="1"/>
  <c r="F133" i="7"/>
  <c r="E133" i="7"/>
  <c r="AN132" i="7"/>
  <c r="AM132" i="7"/>
  <c r="AQ132" i="7" s="1"/>
  <c r="AK132" i="7"/>
  <c r="AE132" i="7"/>
  <c r="Y132" i="7"/>
  <c r="AP132" i="7" s="1"/>
  <c r="S132" i="7"/>
  <c r="N132" i="7"/>
  <c r="F132" i="7"/>
  <c r="E132" i="7"/>
  <c r="AK131" i="7"/>
  <c r="AK128" i="7" s="1"/>
  <c r="AE131" i="7"/>
  <c r="Y131" i="7"/>
  <c r="AP131" i="7" s="1"/>
  <c r="S131" i="7"/>
  <c r="N131" i="7"/>
  <c r="AM131" i="7" s="1"/>
  <c r="F131" i="7"/>
  <c r="E131" i="7"/>
  <c r="AZ130" i="7"/>
  <c r="AX130" i="7"/>
  <c r="AV130" i="7"/>
  <c r="AP130" i="7"/>
  <c r="AK130" i="7"/>
  <c r="AE130" i="7"/>
  <c r="AE128" i="7" s="1"/>
  <c r="Y130" i="7"/>
  <c r="S130" i="7"/>
  <c r="N130" i="7"/>
  <c r="AM130" i="7" s="1"/>
  <c r="F130" i="7"/>
  <c r="E130" i="7"/>
  <c r="AZ129" i="7"/>
  <c r="AX129" i="7"/>
  <c r="AV129" i="7"/>
  <c r="AN129" i="7"/>
  <c r="AK129" i="7"/>
  <c r="AE129" i="7"/>
  <c r="Y129" i="7"/>
  <c r="AP129" i="7" s="1"/>
  <c r="S129" i="7"/>
  <c r="N129" i="7"/>
  <c r="AM129" i="7" s="1"/>
  <c r="AQ129" i="7" s="1"/>
  <c r="L129" i="7"/>
  <c r="F129" i="7"/>
  <c r="E129" i="7"/>
  <c r="Z128" i="7"/>
  <c r="T128" i="7"/>
  <c r="R128" i="7"/>
  <c r="Q128" i="7"/>
  <c r="P128" i="7"/>
  <c r="M128" i="7"/>
  <c r="K128" i="7"/>
  <c r="J128" i="7"/>
  <c r="E128" i="7"/>
  <c r="AK127" i="7"/>
  <c r="AE127" i="7"/>
  <c r="Y127" i="7"/>
  <c r="AP127" i="7" s="1"/>
  <c r="S127" i="7"/>
  <c r="N127" i="7"/>
  <c r="AM127" i="7" s="1"/>
  <c r="F127" i="7"/>
  <c r="E127" i="7"/>
  <c r="AN126" i="7"/>
  <c r="AM126" i="7"/>
  <c r="AQ126" i="7" s="1"/>
  <c r="AK126" i="7"/>
  <c r="AE126" i="7"/>
  <c r="Y126" i="7"/>
  <c r="AP126" i="7" s="1"/>
  <c r="S126" i="7"/>
  <c r="N126" i="7"/>
  <c r="F126" i="7"/>
  <c r="E126" i="7"/>
  <c r="AZ125" i="7"/>
  <c r="AX125" i="7"/>
  <c r="AV125" i="7"/>
  <c r="AP125" i="7"/>
  <c r="AM125" i="7"/>
  <c r="AQ125" i="7" s="1"/>
  <c r="AK125" i="7"/>
  <c r="AE125" i="7"/>
  <c r="Y125" i="7"/>
  <c r="S125" i="7"/>
  <c r="AN125" i="7" s="1"/>
  <c r="N125" i="7"/>
  <c r="L125" i="7"/>
  <c r="F125" i="7"/>
  <c r="E125" i="7"/>
  <c r="AZ124" i="7"/>
  <c r="AX124" i="7"/>
  <c r="AV124" i="7"/>
  <c r="AN124" i="7"/>
  <c r="AK124" i="7"/>
  <c r="AE124" i="7"/>
  <c r="Y124" i="7"/>
  <c r="AP124" i="7" s="1"/>
  <c r="S124" i="7"/>
  <c r="N124" i="7"/>
  <c r="AM124" i="7" s="1"/>
  <c r="F124" i="7"/>
  <c r="E124" i="7"/>
  <c r="AZ123" i="7"/>
  <c r="AX123" i="7"/>
  <c r="AV123" i="7"/>
  <c r="AM123" i="7"/>
  <c r="AK123" i="7"/>
  <c r="AE123" i="7"/>
  <c r="Y123" i="7"/>
  <c r="S123" i="7"/>
  <c r="AN123" i="7" s="1"/>
  <c r="N123" i="7"/>
  <c r="L123" i="7"/>
  <c r="F123" i="7"/>
  <c r="E123" i="7"/>
  <c r="AZ122" i="7"/>
  <c r="AX122" i="7"/>
  <c r="AV122" i="7"/>
  <c r="AK122" i="7"/>
  <c r="AE122" i="7"/>
  <c r="Y122" i="7"/>
  <c r="AP122" i="7" s="1"/>
  <c r="S122" i="7"/>
  <c r="N122" i="7"/>
  <c r="AM122" i="7" s="1"/>
  <c r="F122" i="7"/>
  <c r="E122" i="7"/>
  <c r="AZ121" i="7"/>
  <c r="AX121" i="7"/>
  <c r="AV121" i="7"/>
  <c r="AP121" i="7"/>
  <c r="AK121" i="7"/>
  <c r="AE121" i="7"/>
  <c r="Y121" i="7"/>
  <c r="S121" i="7"/>
  <c r="N121" i="7"/>
  <c r="AM121" i="7" s="1"/>
  <c r="F121" i="7"/>
  <c r="E121" i="7"/>
  <c r="AZ120" i="7"/>
  <c r="AX120" i="7"/>
  <c r="AV120" i="7"/>
  <c r="AP120" i="7"/>
  <c r="AN120" i="7"/>
  <c r="AK120" i="7"/>
  <c r="AE120" i="7"/>
  <c r="Y120" i="7"/>
  <c r="S120" i="7"/>
  <c r="N120" i="7"/>
  <c r="AM120" i="7" s="1"/>
  <c r="AQ120" i="7" s="1"/>
  <c r="L120" i="7"/>
  <c r="F120" i="7"/>
  <c r="E120" i="7"/>
  <c r="AN119" i="7"/>
  <c r="AK119" i="7"/>
  <c r="AE119" i="7"/>
  <c r="Y119" i="7"/>
  <c r="AP119" i="7" s="1"/>
  <c r="S119" i="7"/>
  <c r="N119" i="7"/>
  <c r="AM119" i="7" s="1"/>
  <c r="F119" i="7"/>
  <c r="E119" i="7"/>
  <c r="AN118" i="7"/>
  <c r="AK118" i="7"/>
  <c r="AE118" i="7"/>
  <c r="Y118" i="7"/>
  <c r="AP118" i="7" s="1"/>
  <c r="AQ118" i="7" s="1"/>
  <c r="S118" i="7"/>
  <c r="N118" i="7"/>
  <c r="AM118" i="7" s="1"/>
  <c r="L118" i="7"/>
  <c r="F118" i="7"/>
  <c r="E118" i="7"/>
  <c r="Y117" i="7"/>
  <c r="R117" i="7"/>
  <c r="Q117" i="7"/>
  <c r="P117" i="7"/>
  <c r="M117" i="7"/>
  <c r="K117" i="7"/>
  <c r="J117" i="7"/>
  <c r="E117" i="7"/>
  <c r="AP116" i="7"/>
  <c r="AQ116" i="7" s="1"/>
  <c r="AN116" i="7"/>
  <c r="AK116" i="7"/>
  <c r="S116" i="7"/>
  <c r="L116" i="7" s="1"/>
  <c r="N116" i="7"/>
  <c r="AM116" i="7" s="1"/>
  <c r="F116" i="7"/>
  <c r="E116" i="7"/>
  <c r="AK115" i="7"/>
  <c r="AE115" i="7"/>
  <c r="Y115" i="7"/>
  <c r="AP115" i="7" s="1"/>
  <c r="S115" i="7"/>
  <c r="N115" i="7"/>
  <c r="AM115" i="7" s="1"/>
  <c r="F115" i="7"/>
  <c r="E115" i="7"/>
  <c r="AN114" i="7"/>
  <c r="AM114" i="7"/>
  <c r="AQ114" i="7" s="1"/>
  <c r="AK114" i="7"/>
  <c r="AE114" i="7"/>
  <c r="Y114" i="7"/>
  <c r="AP114" i="7" s="1"/>
  <c r="S114" i="7"/>
  <c r="L114" i="7" s="1"/>
  <c r="N114" i="7"/>
  <c r="F114" i="7"/>
  <c r="E114" i="7"/>
  <c r="AK113" i="7"/>
  <c r="AE113" i="7"/>
  <c r="Y113" i="7"/>
  <c r="AP113" i="7" s="1"/>
  <c r="S113" i="7"/>
  <c r="N113" i="7"/>
  <c r="AM113" i="7" s="1"/>
  <c r="F113" i="7"/>
  <c r="E113" i="7"/>
  <c r="AN112" i="7"/>
  <c r="AQ112" i="7" s="1"/>
  <c r="AM112" i="7"/>
  <c r="AK112" i="7"/>
  <c r="AE112" i="7"/>
  <c r="Y112" i="7"/>
  <c r="AP112" i="7" s="1"/>
  <c r="S112" i="7"/>
  <c r="L112" i="7" s="1"/>
  <c r="N112" i="7"/>
  <c r="F112" i="7"/>
  <c r="E112" i="7"/>
  <c r="AK111" i="7"/>
  <c r="AE111" i="7"/>
  <c r="Y111" i="7"/>
  <c r="AP111" i="7" s="1"/>
  <c r="S111" i="7"/>
  <c r="N111" i="7"/>
  <c r="AM111" i="7" s="1"/>
  <c r="F111" i="7"/>
  <c r="E111" i="7"/>
  <c r="AQ110" i="7"/>
  <c r="AN110" i="7"/>
  <c r="AK110" i="7"/>
  <c r="AE110" i="7"/>
  <c r="Y110" i="7"/>
  <c r="AP110" i="7" s="1"/>
  <c r="S110" i="7"/>
  <c r="L110" i="7" s="1"/>
  <c r="N110" i="7"/>
  <c r="AM110" i="7" s="1"/>
  <c r="F110" i="7"/>
  <c r="E110" i="7"/>
  <c r="AK109" i="7"/>
  <c r="AE109" i="7"/>
  <c r="Y109" i="7"/>
  <c r="AP109" i="7" s="1"/>
  <c r="S109" i="7"/>
  <c r="N109" i="7"/>
  <c r="AM109" i="7" s="1"/>
  <c r="F109" i="7"/>
  <c r="E109" i="7"/>
  <c r="AN108" i="7"/>
  <c r="AK108" i="7"/>
  <c r="AE108" i="7"/>
  <c r="Y108" i="7"/>
  <c r="AP108" i="7" s="1"/>
  <c r="S108" i="7"/>
  <c r="L108" i="7" s="1"/>
  <c r="N108" i="7"/>
  <c r="AM108" i="7" s="1"/>
  <c r="AQ108" i="7" s="1"/>
  <c r="F108" i="7"/>
  <c r="E108" i="7"/>
  <c r="AZ107" i="7"/>
  <c r="AX107" i="7"/>
  <c r="AV107" i="7"/>
  <c r="AP107" i="7"/>
  <c r="AM107" i="7"/>
  <c r="AQ107" i="7" s="1"/>
  <c r="AK107" i="7"/>
  <c r="AE107" i="7"/>
  <c r="Y107" i="7"/>
  <c r="S107" i="7"/>
  <c r="AN107" i="7" s="1"/>
  <c r="N107" i="7"/>
  <c r="L107" i="7"/>
  <c r="F107" i="7"/>
  <c r="E107" i="7"/>
  <c r="AP106" i="7"/>
  <c r="AK106" i="7"/>
  <c r="AE106" i="7"/>
  <c r="Y106" i="7"/>
  <c r="S106" i="7"/>
  <c r="N106" i="7"/>
  <c r="AM106" i="7" s="1"/>
  <c r="F106" i="7"/>
  <c r="E106" i="7"/>
  <c r="AE105" i="7"/>
  <c r="Z105" i="7"/>
  <c r="X105" i="7"/>
  <c r="W105" i="7"/>
  <c r="V105" i="7"/>
  <c r="T105" i="7"/>
  <c r="R105" i="7"/>
  <c r="Q105" i="7"/>
  <c r="P105" i="7"/>
  <c r="M105" i="7"/>
  <c r="K105" i="7"/>
  <c r="J105" i="7"/>
  <c r="E105" i="7"/>
  <c r="AZ104" i="7"/>
  <c r="AX104" i="7"/>
  <c r="AV104" i="7"/>
  <c r="AK104" i="7"/>
  <c r="AE104" i="7"/>
  <c r="AP104" i="7" s="1"/>
  <c r="Y104" i="7"/>
  <c r="S104" i="7"/>
  <c r="N104" i="7"/>
  <c r="AM104" i="7" s="1"/>
  <c r="F104" i="7"/>
  <c r="E104" i="7"/>
  <c r="AP103" i="7"/>
  <c r="AM103" i="7"/>
  <c r="AK103" i="7"/>
  <c r="AE103" i="7"/>
  <c r="Y103" i="7"/>
  <c r="S103" i="7"/>
  <c r="AN103" i="7" s="1"/>
  <c r="N103" i="7"/>
  <c r="L103" i="7"/>
  <c r="F103" i="7"/>
  <c r="E103" i="7"/>
  <c r="AK102" i="7"/>
  <c r="AE102" i="7"/>
  <c r="AP102" i="7" s="1"/>
  <c r="Y102" i="7"/>
  <c r="S102" i="7"/>
  <c r="N102" i="7"/>
  <c r="AM102" i="7" s="1"/>
  <c r="F102" i="7"/>
  <c r="E102" i="7"/>
  <c r="AP101" i="7"/>
  <c r="AM101" i="7"/>
  <c r="AK101" i="7"/>
  <c r="AE101" i="7"/>
  <c r="Y101" i="7"/>
  <c r="S101" i="7"/>
  <c r="AN101" i="7" s="1"/>
  <c r="N101" i="7"/>
  <c r="L101" i="7"/>
  <c r="F101" i="7"/>
  <c r="E101" i="7"/>
  <c r="AK100" i="7"/>
  <c r="AE100" i="7"/>
  <c r="Y100" i="7"/>
  <c r="S100" i="7"/>
  <c r="N100" i="7"/>
  <c r="AM100" i="7" s="1"/>
  <c r="F100" i="7"/>
  <c r="E100" i="7"/>
  <c r="AZ99" i="7"/>
  <c r="AX99" i="7"/>
  <c r="AV99" i="7"/>
  <c r="AP99" i="7"/>
  <c r="AN99" i="7"/>
  <c r="AK99" i="7"/>
  <c r="AK97" i="7" s="1"/>
  <c r="AE99" i="7"/>
  <c r="Y99" i="7"/>
  <c r="Y97" i="7" s="1"/>
  <c r="S99" i="7"/>
  <c r="N99" i="7"/>
  <c r="AM99" i="7" s="1"/>
  <c r="AQ99" i="7" s="1"/>
  <c r="L99" i="7"/>
  <c r="F99" i="7"/>
  <c r="E99" i="7"/>
  <c r="AZ98" i="7"/>
  <c r="AX98" i="7"/>
  <c r="AV98" i="7"/>
  <c r="AP98" i="7"/>
  <c r="AN98" i="7"/>
  <c r="AM98" i="7"/>
  <c r="AK98" i="7"/>
  <c r="AE98" i="7"/>
  <c r="Y98" i="7"/>
  <c r="S98" i="7"/>
  <c r="N98" i="7"/>
  <c r="L98" i="7"/>
  <c r="F98" i="7"/>
  <c r="E98" i="7"/>
  <c r="R97" i="7"/>
  <c r="Q97" i="7"/>
  <c r="P97" i="7"/>
  <c r="K97" i="7"/>
  <c r="J97" i="7"/>
  <c r="E97" i="7"/>
  <c r="AZ96" i="7"/>
  <c r="AX96" i="7"/>
  <c r="AV96" i="7"/>
  <c r="AM96" i="7"/>
  <c r="AK96" i="7"/>
  <c r="AE96" i="7"/>
  <c r="AP96" i="7" s="1"/>
  <c r="Y96" i="7"/>
  <c r="S96" i="7"/>
  <c r="N96" i="7"/>
  <c r="F96" i="7"/>
  <c r="E96" i="7"/>
  <c r="AY95" i="7"/>
  <c r="AZ95" i="7" s="1"/>
  <c r="AU95" i="7"/>
  <c r="AV95" i="7" s="1"/>
  <c r="AT95" i="7"/>
  <c r="AX95" i="7" s="1"/>
  <c r="AS95" i="7"/>
  <c r="AN95" i="7"/>
  <c r="AK95" i="7"/>
  <c r="AE95" i="7"/>
  <c r="Y95" i="7"/>
  <c r="S95" i="7"/>
  <c r="L95" i="7" s="1"/>
  <c r="N95" i="7"/>
  <c r="AM95" i="7" s="1"/>
  <c r="F95" i="7"/>
  <c r="E95" i="7"/>
  <c r="AN94" i="7"/>
  <c r="AK94" i="7"/>
  <c r="AE94" i="7"/>
  <c r="Y94" i="7"/>
  <c r="S94" i="7"/>
  <c r="N94" i="7"/>
  <c r="AM94" i="7" s="1"/>
  <c r="F94" i="7"/>
  <c r="E94" i="7"/>
  <c r="AZ93" i="7"/>
  <c r="AX93" i="7"/>
  <c r="AV93" i="7"/>
  <c r="AP93" i="7"/>
  <c r="AM93" i="7"/>
  <c r="AK93" i="7"/>
  <c r="AE93" i="7"/>
  <c r="Y93" i="7"/>
  <c r="S93" i="7"/>
  <c r="N93" i="7"/>
  <c r="F93" i="7"/>
  <c r="E93" i="7"/>
  <c r="AM92" i="7"/>
  <c r="AK92" i="7"/>
  <c r="AE92" i="7"/>
  <c r="Y92" i="7"/>
  <c r="S92" i="7"/>
  <c r="AN92" i="7" s="1"/>
  <c r="N92" i="7"/>
  <c r="F92" i="7"/>
  <c r="E92" i="7"/>
  <c r="AN91" i="7"/>
  <c r="AM91" i="7"/>
  <c r="AK91" i="7"/>
  <c r="AE91" i="7"/>
  <c r="AP91" i="7" s="1"/>
  <c r="Y91" i="7"/>
  <c r="S91" i="7"/>
  <c r="S84" i="7" s="1"/>
  <c r="N91" i="7"/>
  <c r="F91" i="7"/>
  <c r="E91" i="7"/>
  <c r="AZ90" i="7"/>
  <c r="AX90" i="7"/>
  <c r="AV90" i="7"/>
  <c r="AN90" i="7"/>
  <c r="AK90" i="7"/>
  <c r="AE90" i="7"/>
  <c r="Y90" i="7"/>
  <c r="AP90" i="7" s="1"/>
  <c r="S90" i="7"/>
  <c r="L90" i="7" s="1"/>
  <c r="N90" i="7"/>
  <c r="AM90" i="7" s="1"/>
  <c r="AQ90" i="7" s="1"/>
  <c r="F90" i="7"/>
  <c r="E90" i="7"/>
  <c r="AZ89" i="7"/>
  <c r="AX89" i="7"/>
  <c r="AV89" i="7"/>
  <c r="AP89" i="7"/>
  <c r="AM89" i="7"/>
  <c r="AK89" i="7"/>
  <c r="AE89" i="7"/>
  <c r="Y89" i="7"/>
  <c r="S89" i="7"/>
  <c r="AN89" i="7" s="1"/>
  <c r="N89" i="7"/>
  <c r="L89" i="7"/>
  <c r="F89" i="7"/>
  <c r="E89" i="7"/>
  <c r="AZ88" i="7"/>
  <c r="AX88" i="7"/>
  <c r="AV88" i="7"/>
  <c r="AN88" i="7"/>
  <c r="AK88" i="7"/>
  <c r="AE88" i="7"/>
  <c r="Y88" i="7"/>
  <c r="S88" i="7"/>
  <c r="L88" i="7" s="1"/>
  <c r="N88" i="7"/>
  <c r="AM88" i="7" s="1"/>
  <c r="F88" i="7"/>
  <c r="E88" i="7"/>
  <c r="AP87" i="7"/>
  <c r="AQ87" i="7" s="1"/>
  <c r="AN87" i="7"/>
  <c r="AK87" i="7"/>
  <c r="AE87" i="7"/>
  <c r="Y87" i="7"/>
  <c r="S87" i="7"/>
  <c r="N87" i="7"/>
  <c r="AM87" i="7" s="1"/>
  <c r="L87" i="7"/>
  <c r="F87" i="7"/>
  <c r="E87" i="7"/>
  <c r="AN86" i="7"/>
  <c r="AK86" i="7"/>
  <c r="AK84" i="7" s="1"/>
  <c r="AE86" i="7"/>
  <c r="Y86" i="7"/>
  <c r="AP86" i="7" s="1"/>
  <c r="S86" i="7"/>
  <c r="L86" i="7" s="1"/>
  <c r="N86" i="7"/>
  <c r="AM86" i="7" s="1"/>
  <c r="AQ86" i="7" s="1"/>
  <c r="F86" i="7"/>
  <c r="E86" i="7"/>
  <c r="AN85" i="7"/>
  <c r="AK85" i="7"/>
  <c r="AE85" i="7"/>
  <c r="Y85" i="7"/>
  <c r="S85" i="7"/>
  <c r="N85" i="7"/>
  <c r="AM85" i="7" s="1"/>
  <c r="L85" i="7"/>
  <c r="F85" i="7"/>
  <c r="E85" i="7"/>
  <c r="Z84" i="7"/>
  <c r="T84" i="7"/>
  <c r="R84" i="7"/>
  <c r="Q84" i="7"/>
  <c r="P84" i="7"/>
  <c r="M84" i="7"/>
  <c r="K84" i="7"/>
  <c r="J84" i="7"/>
  <c r="E84" i="7"/>
  <c r="AK83" i="7"/>
  <c r="AE83" i="7"/>
  <c r="Y83" i="7"/>
  <c r="AP83" i="7" s="1"/>
  <c r="S83" i="7"/>
  <c r="N83" i="7"/>
  <c r="AM83" i="7" s="1"/>
  <c r="F83" i="7"/>
  <c r="E83" i="7"/>
  <c r="AN82" i="7"/>
  <c r="AM82" i="7"/>
  <c r="AK82" i="7"/>
  <c r="AE82" i="7"/>
  <c r="Y82" i="7"/>
  <c r="AP82" i="7" s="1"/>
  <c r="S82" i="7"/>
  <c r="N82" i="7"/>
  <c r="L82" i="7"/>
  <c r="F82" i="7"/>
  <c r="E82" i="7"/>
  <c r="AN81" i="7"/>
  <c r="AK81" i="7"/>
  <c r="AE81" i="7"/>
  <c r="Y81" i="7"/>
  <c r="AP81" i="7" s="1"/>
  <c r="S81" i="7"/>
  <c r="N81" i="7"/>
  <c r="AM81" i="7" s="1"/>
  <c r="AQ81" i="7" s="1"/>
  <c r="F81" i="7"/>
  <c r="E81" i="7"/>
  <c r="AZ80" i="7"/>
  <c r="AV80" i="7"/>
  <c r="AK80" i="7"/>
  <c r="AD80" i="7"/>
  <c r="AE80" i="7" s="1"/>
  <c r="AP80" i="7" s="1"/>
  <c r="Y80" i="7"/>
  <c r="S80" i="7"/>
  <c r="N80" i="7"/>
  <c r="AM80" i="7" s="1"/>
  <c r="F80" i="7"/>
  <c r="E80" i="7"/>
  <c r="AZ79" i="7"/>
  <c r="AX79" i="7"/>
  <c r="AV79" i="7"/>
  <c r="AP79" i="7"/>
  <c r="AQ79" i="7" s="1"/>
  <c r="AN79" i="7"/>
  <c r="AK79" i="7"/>
  <c r="AE79" i="7"/>
  <c r="Y79" i="7"/>
  <c r="S79" i="7"/>
  <c r="N79" i="7"/>
  <c r="AM79" i="7" s="1"/>
  <c r="L79" i="7"/>
  <c r="F79" i="7"/>
  <c r="E79" i="7"/>
  <c r="AZ78" i="7"/>
  <c r="AV78" i="7"/>
  <c r="AN78" i="7"/>
  <c r="AK78" i="7"/>
  <c r="AE78" i="7"/>
  <c r="L78" i="7" s="1"/>
  <c r="Y78" i="7"/>
  <c r="AP78" i="7" s="1"/>
  <c r="S78" i="7"/>
  <c r="N78" i="7"/>
  <c r="AM78" i="7" s="1"/>
  <c r="AQ78" i="7" s="1"/>
  <c r="F78" i="7"/>
  <c r="E78" i="7"/>
  <c r="AP77" i="7"/>
  <c r="AN77" i="7"/>
  <c r="AK77" i="7"/>
  <c r="AE77" i="7"/>
  <c r="Y77" i="7"/>
  <c r="S77" i="7"/>
  <c r="L77" i="7" s="1"/>
  <c r="N77" i="7"/>
  <c r="AM77" i="7" s="1"/>
  <c r="F77" i="7"/>
  <c r="E77" i="7"/>
  <c r="AZ76" i="7"/>
  <c r="AX76" i="7"/>
  <c r="AV76" i="7"/>
  <c r="AM76" i="7"/>
  <c r="AQ76" i="7" s="1"/>
  <c r="AK76" i="7"/>
  <c r="AE76" i="7"/>
  <c r="AP76" i="7" s="1"/>
  <c r="Y76" i="7"/>
  <c r="S76" i="7"/>
  <c r="AN76" i="7" s="1"/>
  <c r="N76" i="7"/>
  <c r="L76" i="7"/>
  <c r="F76" i="7"/>
  <c r="E76" i="7"/>
  <c r="AP75" i="7"/>
  <c r="AM75" i="7"/>
  <c r="AK75" i="7"/>
  <c r="AE75" i="7"/>
  <c r="Y75" i="7"/>
  <c r="S75" i="7"/>
  <c r="AN75" i="7" s="1"/>
  <c r="N75" i="7"/>
  <c r="L75" i="7"/>
  <c r="F75" i="7"/>
  <c r="E75" i="7"/>
  <c r="AN74" i="7"/>
  <c r="AM74" i="7"/>
  <c r="AK74" i="7"/>
  <c r="AE74" i="7"/>
  <c r="AP74" i="7" s="1"/>
  <c r="Y74" i="7"/>
  <c r="S74" i="7"/>
  <c r="L74" i="7" s="1"/>
  <c r="N74" i="7"/>
  <c r="F74" i="7"/>
  <c r="E74" i="7"/>
  <c r="AM73" i="7"/>
  <c r="AK73" i="7"/>
  <c r="AE73" i="7"/>
  <c r="L73" i="7" s="1"/>
  <c r="Y73" i="7"/>
  <c r="AP73" i="7" s="1"/>
  <c r="S73" i="7"/>
  <c r="AN73" i="7" s="1"/>
  <c r="N73" i="7"/>
  <c r="F73" i="7"/>
  <c r="E73" i="7"/>
  <c r="AZ72" i="7"/>
  <c r="AX72" i="7"/>
  <c r="AV72" i="7"/>
  <c r="AK72" i="7"/>
  <c r="AE72" i="7"/>
  <c r="Y72" i="7"/>
  <c r="AP72" i="7" s="1"/>
  <c r="S72" i="7"/>
  <c r="N72" i="7"/>
  <c r="AM72" i="7" s="1"/>
  <c r="F72" i="7"/>
  <c r="E72" i="7"/>
  <c r="AP71" i="7"/>
  <c r="AN71" i="7"/>
  <c r="AM71" i="7"/>
  <c r="AQ71" i="7" s="1"/>
  <c r="AK71" i="7"/>
  <c r="AE71" i="7"/>
  <c r="Y71" i="7"/>
  <c r="S71" i="7"/>
  <c r="N71" i="7"/>
  <c r="L71" i="7"/>
  <c r="F71" i="7"/>
  <c r="E71" i="7"/>
  <c r="AZ70" i="7"/>
  <c r="AX70" i="7"/>
  <c r="AV70" i="7"/>
  <c r="AP70" i="7"/>
  <c r="AN70" i="7"/>
  <c r="AM70" i="7"/>
  <c r="AK70" i="7"/>
  <c r="AE70" i="7"/>
  <c r="Y70" i="7"/>
  <c r="S70" i="7"/>
  <c r="L70" i="7" s="1"/>
  <c r="N70" i="7"/>
  <c r="F70" i="7"/>
  <c r="E70" i="7"/>
  <c r="AZ69" i="7"/>
  <c r="AX69" i="7"/>
  <c r="AV69" i="7"/>
  <c r="AM69" i="7"/>
  <c r="AK69" i="7"/>
  <c r="AE69" i="7"/>
  <c r="Y69" i="7"/>
  <c r="AP69" i="7" s="1"/>
  <c r="S69" i="7"/>
  <c r="N69" i="7"/>
  <c r="F69" i="7"/>
  <c r="E69" i="7"/>
  <c r="AN68" i="7"/>
  <c r="AM68" i="7"/>
  <c r="AK68" i="7"/>
  <c r="AE68" i="7"/>
  <c r="Y68" i="7"/>
  <c r="AP68" i="7" s="1"/>
  <c r="S68" i="7"/>
  <c r="L68" i="7" s="1"/>
  <c r="N68" i="7"/>
  <c r="F68" i="7"/>
  <c r="E68" i="7"/>
  <c r="AM67" i="7"/>
  <c r="AK67" i="7"/>
  <c r="AE67" i="7"/>
  <c r="Y67" i="7"/>
  <c r="AP67" i="7" s="1"/>
  <c r="S67" i="7"/>
  <c r="N67" i="7"/>
  <c r="F67" i="7"/>
  <c r="E67" i="7"/>
  <c r="AZ66" i="7"/>
  <c r="AX66" i="7"/>
  <c r="AV66" i="7"/>
  <c r="AP66" i="7"/>
  <c r="AK66" i="7"/>
  <c r="AE66" i="7"/>
  <c r="Y66" i="7"/>
  <c r="S66" i="7"/>
  <c r="N66" i="7"/>
  <c r="AM66" i="7" s="1"/>
  <c r="L66" i="7"/>
  <c r="F66" i="7"/>
  <c r="E66" i="7"/>
  <c r="AZ65" i="7"/>
  <c r="AX65" i="7"/>
  <c r="AV65" i="7"/>
  <c r="AP65" i="7"/>
  <c r="AN65" i="7"/>
  <c r="AK65" i="7"/>
  <c r="AE65" i="7"/>
  <c r="Y65" i="7"/>
  <c r="S65" i="7"/>
  <c r="N65" i="7"/>
  <c r="AM65" i="7" s="1"/>
  <c r="AQ65" i="7" s="1"/>
  <c r="L65" i="7"/>
  <c r="F65" i="7"/>
  <c r="E65" i="7"/>
  <c r="AH64" i="7"/>
  <c r="Z64" i="7"/>
  <c r="T64" i="7"/>
  <c r="R64" i="7"/>
  <c r="Q64" i="7"/>
  <c r="P64" i="7"/>
  <c r="M64" i="7"/>
  <c r="K64" i="7"/>
  <c r="J64" i="7"/>
  <c r="E64" i="7"/>
  <c r="AN63" i="7"/>
  <c r="AM63" i="7"/>
  <c r="AK63" i="7"/>
  <c r="AE63" i="7"/>
  <c r="Y63" i="7"/>
  <c r="S63" i="7"/>
  <c r="L63" i="7" s="1"/>
  <c r="N63" i="7"/>
  <c r="F63" i="7"/>
  <c r="E63" i="7"/>
  <c r="AP62" i="7"/>
  <c r="AN62" i="7"/>
  <c r="AM62" i="7"/>
  <c r="AK62" i="7"/>
  <c r="AE62" i="7"/>
  <c r="Y62" i="7"/>
  <c r="S62" i="7"/>
  <c r="N62" i="7"/>
  <c r="L62" i="7"/>
  <c r="F62" i="7"/>
  <c r="E62" i="7"/>
  <c r="AZ61" i="7"/>
  <c r="AV61" i="7"/>
  <c r="AN61" i="7"/>
  <c r="AM61" i="7"/>
  <c r="AK61" i="7"/>
  <c r="AE61" i="7"/>
  <c r="AP61" i="7" s="1"/>
  <c r="Y61" i="7"/>
  <c r="S61" i="7"/>
  <c r="N61" i="7"/>
  <c r="F61" i="7"/>
  <c r="E61" i="7"/>
  <c r="AP60" i="7"/>
  <c r="AK60" i="7"/>
  <c r="AE60" i="7"/>
  <c r="Y60" i="7"/>
  <c r="S60" i="7"/>
  <c r="N60" i="7"/>
  <c r="AM60" i="7" s="1"/>
  <c r="F60" i="7"/>
  <c r="E60" i="7"/>
  <c r="AN59" i="7"/>
  <c r="AM59" i="7"/>
  <c r="AQ59" i="7" s="1"/>
  <c r="AK59" i="7"/>
  <c r="AE59" i="7"/>
  <c r="AP59" i="7" s="1"/>
  <c r="Y59" i="7"/>
  <c r="S59" i="7"/>
  <c r="N59" i="7"/>
  <c r="F59" i="7"/>
  <c r="E59" i="7"/>
  <c r="AZ58" i="7"/>
  <c r="AX58" i="7"/>
  <c r="AV58" i="7"/>
  <c r="AN58" i="7"/>
  <c r="AM58" i="7"/>
  <c r="AQ58" i="7" s="1"/>
  <c r="AK58" i="7"/>
  <c r="AE58" i="7"/>
  <c r="AP58" i="7" s="1"/>
  <c r="Y58" i="7"/>
  <c r="S58" i="7"/>
  <c r="N58" i="7"/>
  <c r="L58" i="7"/>
  <c r="F58" i="7"/>
  <c r="E58" i="7"/>
  <c r="AZ57" i="7"/>
  <c r="AX57" i="7"/>
  <c r="AV57" i="7"/>
  <c r="AN57" i="7"/>
  <c r="AK57" i="7"/>
  <c r="AE57" i="7"/>
  <c r="L57" i="7" s="1"/>
  <c r="Y57" i="7"/>
  <c r="S57" i="7"/>
  <c r="R57" i="7"/>
  <c r="Q57" i="7"/>
  <c r="P57" i="7"/>
  <c r="P30" i="7" s="1"/>
  <c r="N57" i="7"/>
  <c r="AM57" i="7" s="1"/>
  <c r="F57" i="7"/>
  <c r="E57" i="7"/>
  <c r="AM56" i="7"/>
  <c r="AK56" i="7"/>
  <c r="AE56" i="7"/>
  <c r="Y56" i="7"/>
  <c r="AP56" i="7" s="1"/>
  <c r="S56" i="7"/>
  <c r="N56" i="7"/>
  <c r="F56" i="7"/>
  <c r="E56" i="7"/>
  <c r="AP55" i="7"/>
  <c r="AN55" i="7"/>
  <c r="AM55" i="7"/>
  <c r="AQ55" i="7" s="1"/>
  <c r="AK55" i="7"/>
  <c r="AE55" i="7"/>
  <c r="Y55" i="7"/>
  <c r="S55" i="7"/>
  <c r="L55" i="7" s="1"/>
  <c r="N55" i="7"/>
  <c r="F55" i="7"/>
  <c r="E55" i="7"/>
  <c r="AM54" i="7"/>
  <c r="AK54" i="7"/>
  <c r="AE54" i="7"/>
  <c r="Y54" i="7"/>
  <c r="AP54" i="7" s="1"/>
  <c r="S54" i="7"/>
  <c r="N54" i="7"/>
  <c r="F54" i="7"/>
  <c r="E54" i="7"/>
  <c r="AP53" i="7"/>
  <c r="AN53" i="7"/>
  <c r="AM53" i="7"/>
  <c r="AQ53" i="7" s="1"/>
  <c r="AK53" i="7"/>
  <c r="AE53" i="7"/>
  <c r="Y53" i="7"/>
  <c r="S53" i="7"/>
  <c r="L53" i="7" s="1"/>
  <c r="N53" i="7"/>
  <c r="F53" i="7"/>
  <c r="E53" i="7"/>
  <c r="AM52" i="7"/>
  <c r="AK52" i="7"/>
  <c r="AE52" i="7"/>
  <c r="Y52" i="7"/>
  <c r="AP52" i="7" s="1"/>
  <c r="S52" i="7"/>
  <c r="N52" i="7"/>
  <c r="F52" i="7"/>
  <c r="E52" i="7"/>
  <c r="AP51" i="7"/>
  <c r="AN51" i="7"/>
  <c r="AM51" i="7"/>
  <c r="AK51" i="7"/>
  <c r="AE51" i="7"/>
  <c r="Y51" i="7"/>
  <c r="S51" i="7"/>
  <c r="L51" i="7" s="1"/>
  <c r="N51" i="7"/>
  <c r="F51" i="7"/>
  <c r="E51" i="7"/>
  <c r="AP50" i="7"/>
  <c r="AK50" i="7"/>
  <c r="S50" i="7"/>
  <c r="AN50" i="7" s="1"/>
  <c r="N50" i="7"/>
  <c r="AM50" i="7" s="1"/>
  <c r="AQ50" i="7" s="1"/>
  <c r="L50" i="7"/>
  <c r="F50" i="7"/>
  <c r="E50" i="7"/>
  <c r="AZ49" i="7"/>
  <c r="AV49" i="7"/>
  <c r="AP49" i="7"/>
  <c r="AN49" i="7"/>
  <c r="AM49" i="7"/>
  <c r="AQ49" i="7" s="1"/>
  <c r="AK49" i="7"/>
  <c r="AE49" i="7"/>
  <c r="Y49" i="7"/>
  <c r="S49" i="7"/>
  <c r="L49" i="7" s="1"/>
  <c r="N49" i="7"/>
  <c r="F49" i="7"/>
  <c r="E49" i="7"/>
  <c r="AZ48" i="7"/>
  <c r="AV48" i="7"/>
  <c r="AN48" i="7"/>
  <c r="AM48" i="7"/>
  <c r="AK48" i="7"/>
  <c r="AK30" i="7" s="1"/>
  <c r="AE48" i="7"/>
  <c r="Y48" i="7"/>
  <c r="S48" i="7"/>
  <c r="N48" i="7"/>
  <c r="F48" i="7"/>
  <c r="E48" i="7"/>
  <c r="AP47" i="7"/>
  <c r="AQ47" i="7" s="1"/>
  <c r="AN47" i="7"/>
  <c r="AK47" i="7"/>
  <c r="AE47" i="7"/>
  <c r="Y47" i="7"/>
  <c r="S47" i="7"/>
  <c r="N47" i="7"/>
  <c r="AM47" i="7" s="1"/>
  <c r="L47" i="7"/>
  <c r="F47" i="7"/>
  <c r="E47" i="7"/>
  <c r="AN46" i="7"/>
  <c r="AM46" i="7"/>
  <c r="AK46" i="7"/>
  <c r="AE46" i="7"/>
  <c r="Y46" i="7"/>
  <c r="S46" i="7"/>
  <c r="N46" i="7"/>
  <c r="F46" i="7"/>
  <c r="E46" i="7"/>
  <c r="AP45" i="7"/>
  <c r="AN45" i="7"/>
  <c r="AK45" i="7"/>
  <c r="AE45" i="7"/>
  <c r="Y45" i="7"/>
  <c r="S45" i="7"/>
  <c r="N45" i="7"/>
  <c r="AM45" i="7" s="1"/>
  <c r="AQ45" i="7" s="1"/>
  <c r="L45" i="7"/>
  <c r="F45" i="7"/>
  <c r="E45" i="7"/>
  <c r="AZ44" i="7"/>
  <c r="AX44" i="7"/>
  <c r="AV44" i="7"/>
  <c r="AP44" i="7"/>
  <c r="AN44" i="7"/>
  <c r="AM44" i="7"/>
  <c r="AK44" i="7"/>
  <c r="AE44" i="7"/>
  <c r="Y44" i="7"/>
  <c r="S44" i="7"/>
  <c r="N44" i="7"/>
  <c r="L44" i="7"/>
  <c r="F44" i="7"/>
  <c r="E44" i="7"/>
  <c r="AN43" i="7"/>
  <c r="AM43" i="7"/>
  <c r="AK43" i="7"/>
  <c r="AE43" i="7"/>
  <c r="Y43" i="7"/>
  <c r="AP43" i="7" s="1"/>
  <c r="S43" i="7"/>
  <c r="L43" i="7" s="1"/>
  <c r="N43" i="7"/>
  <c r="F43" i="7"/>
  <c r="E43" i="7"/>
  <c r="AP42" i="7"/>
  <c r="AN42" i="7"/>
  <c r="AM42" i="7"/>
  <c r="AQ42" i="7" s="1"/>
  <c r="AK42" i="7"/>
  <c r="AE42" i="7"/>
  <c r="Y42" i="7"/>
  <c r="S42" i="7"/>
  <c r="N42" i="7"/>
  <c r="L42" i="7"/>
  <c r="F42" i="7"/>
  <c r="E42" i="7"/>
  <c r="AN41" i="7"/>
  <c r="AM41" i="7"/>
  <c r="AK41" i="7"/>
  <c r="AE41" i="7"/>
  <c r="Y41" i="7"/>
  <c r="AP41" i="7" s="1"/>
  <c r="S41" i="7"/>
  <c r="L41" i="7" s="1"/>
  <c r="N41" i="7"/>
  <c r="F41" i="7"/>
  <c r="E41" i="7"/>
  <c r="AN40" i="7"/>
  <c r="AM40" i="7"/>
  <c r="AK40" i="7"/>
  <c r="AE40" i="7"/>
  <c r="Y40" i="7"/>
  <c r="AP40" i="7" s="1"/>
  <c r="S40" i="7"/>
  <c r="N40" i="7"/>
  <c r="F40" i="7"/>
  <c r="E40" i="7"/>
  <c r="AZ39" i="7"/>
  <c r="AX39" i="7"/>
  <c r="AV39" i="7"/>
  <c r="AP39" i="7"/>
  <c r="AN39" i="7"/>
  <c r="AM39" i="7"/>
  <c r="AK39" i="7"/>
  <c r="AE39" i="7"/>
  <c r="Y39" i="7"/>
  <c r="S39" i="7"/>
  <c r="L39" i="7" s="1"/>
  <c r="N39" i="7"/>
  <c r="F39" i="7"/>
  <c r="E39" i="7"/>
  <c r="AM38" i="7"/>
  <c r="AK38" i="7"/>
  <c r="AE38" i="7"/>
  <c r="Y38" i="7"/>
  <c r="AP38" i="7" s="1"/>
  <c r="S38" i="7"/>
  <c r="N38" i="7"/>
  <c r="F38" i="7"/>
  <c r="E38" i="7"/>
  <c r="AP37" i="7"/>
  <c r="AM37" i="7"/>
  <c r="AK37" i="7"/>
  <c r="AE37" i="7"/>
  <c r="Y37" i="7"/>
  <c r="S37" i="7"/>
  <c r="N37" i="7"/>
  <c r="F37" i="7"/>
  <c r="E37" i="7"/>
  <c r="AM36" i="7"/>
  <c r="AK36" i="7"/>
  <c r="AE36" i="7"/>
  <c r="Y36" i="7"/>
  <c r="S36" i="7"/>
  <c r="N36" i="7"/>
  <c r="F36" i="7"/>
  <c r="E36" i="7"/>
  <c r="AP35" i="7"/>
  <c r="AN35" i="7"/>
  <c r="AM35" i="7"/>
  <c r="AQ35" i="7" s="1"/>
  <c r="AK35" i="7"/>
  <c r="AE35" i="7"/>
  <c r="Y35" i="7"/>
  <c r="S35" i="7"/>
  <c r="L35" i="7" s="1"/>
  <c r="N35" i="7"/>
  <c r="F35" i="7"/>
  <c r="E35" i="7"/>
  <c r="AZ34" i="7"/>
  <c r="AX34" i="7"/>
  <c r="AV34" i="7"/>
  <c r="AP34" i="7"/>
  <c r="AN34" i="7"/>
  <c r="AK34" i="7"/>
  <c r="AE34" i="7"/>
  <c r="Y34" i="7"/>
  <c r="S34" i="7"/>
  <c r="N34" i="7"/>
  <c r="AM34" i="7" s="1"/>
  <c r="AQ34" i="7" s="1"/>
  <c r="L34" i="7"/>
  <c r="F34" i="7"/>
  <c r="E34" i="7"/>
  <c r="AK33" i="7"/>
  <c r="AE33" i="7"/>
  <c r="AP33" i="7" s="1"/>
  <c r="Y33" i="7"/>
  <c r="S33" i="7"/>
  <c r="N33" i="7"/>
  <c r="AM33" i="7" s="1"/>
  <c r="F33" i="7"/>
  <c r="E33" i="7"/>
  <c r="AZ32" i="7"/>
  <c r="AX32" i="7"/>
  <c r="AV32" i="7"/>
  <c r="AP32" i="7"/>
  <c r="AQ32" i="7" s="1"/>
  <c r="AN32" i="7"/>
  <c r="AK32" i="7"/>
  <c r="AE32" i="7"/>
  <c r="Y32" i="7"/>
  <c r="S32" i="7"/>
  <c r="N32" i="7"/>
  <c r="AM32" i="7" s="1"/>
  <c r="L32" i="7"/>
  <c r="F32" i="7"/>
  <c r="E32" i="7"/>
  <c r="AZ31" i="7"/>
  <c r="AX31" i="7"/>
  <c r="AV31" i="7"/>
  <c r="AP31" i="7"/>
  <c r="AN31" i="7"/>
  <c r="AK31" i="7"/>
  <c r="S31" i="7"/>
  <c r="N31" i="7"/>
  <c r="AM31" i="7" s="1"/>
  <c r="L31" i="7"/>
  <c r="F31" i="7"/>
  <c r="E31" i="7"/>
  <c r="AD30" i="7"/>
  <c r="AC30" i="7"/>
  <c r="AB30" i="7"/>
  <c r="X30" i="7"/>
  <c r="W30" i="7"/>
  <c r="V30" i="7"/>
  <c r="T30" i="7"/>
  <c r="R30" i="7"/>
  <c r="Q30" i="7"/>
  <c r="M30" i="7"/>
  <c r="K30" i="7"/>
  <c r="J30" i="7"/>
  <c r="E30" i="7"/>
  <c r="AZ29" i="7"/>
  <c r="AX29" i="7"/>
  <c r="AV29" i="7"/>
  <c r="AP29" i="7"/>
  <c r="AN29" i="7"/>
  <c r="AM29" i="7"/>
  <c r="AK29" i="7"/>
  <c r="AE29" i="7"/>
  <c r="Y29" i="7"/>
  <c r="S29" i="7"/>
  <c r="N29" i="7"/>
  <c r="L29" i="7"/>
  <c r="F29" i="7"/>
  <c r="E29" i="7"/>
  <c r="AN28" i="7"/>
  <c r="AM28" i="7"/>
  <c r="AK28" i="7"/>
  <c r="AE28" i="7"/>
  <c r="Y28" i="7"/>
  <c r="AP28" i="7" s="1"/>
  <c r="S28" i="7"/>
  <c r="L28" i="7" s="1"/>
  <c r="N28" i="7"/>
  <c r="F28" i="7"/>
  <c r="E28" i="7"/>
  <c r="AZ27" i="7"/>
  <c r="AX27" i="7"/>
  <c r="AV27" i="7"/>
  <c r="AM27" i="7"/>
  <c r="AQ27" i="7" s="1"/>
  <c r="AK27" i="7"/>
  <c r="AE27" i="7"/>
  <c r="L27" i="7" s="1"/>
  <c r="Y27" i="7"/>
  <c r="AP27" i="7" s="1"/>
  <c r="S27" i="7"/>
  <c r="AN27" i="7" s="1"/>
  <c r="N27" i="7"/>
  <c r="F27" i="7"/>
  <c r="E27" i="7"/>
  <c r="AP26" i="7"/>
  <c r="AN26" i="7"/>
  <c r="AM26" i="7"/>
  <c r="AK26" i="7"/>
  <c r="AE26" i="7"/>
  <c r="Y26" i="7"/>
  <c r="S26" i="7"/>
  <c r="L26" i="7" s="1"/>
  <c r="N26" i="7"/>
  <c r="F26" i="7"/>
  <c r="E26" i="7"/>
  <c r="AM25" i="7"/>
  <c r="AK25" i="7"/>
  <c r="AE25" i="7"/>
  <c r="Y25" i="7"/>
  <c r="AP25" i="7" s="1"/>
  <c r="S25" i="7"/>
  <c r="N25" i="7"/>
  <c r="F25" i="7"/>
  <c r="E25" i="7"/>
  <c r="AP24" i="7"/>
  <c r="AM24" i="7"/>
  <c r="AK24" i="7"/>
  <c r="AE24" i="7"/>
  <c r="Y24" i="7"/>
  <c r="S24" i="7"/>
  <c r="L24" i="7" s="1"/>
  <c r="N24" i="7"/>
  <c r="F24" i="7"/>
  <c r="E24" i="7"/>
  <c r="AM23" i="7"/>
  <c r="AK23" i="7"/>
  <c r="AE23" i="7"/>
  <c r="Y23" i="7"/>
  <c r="AP23" i="7" s="1"/>
  <c r="S23" i="7"/>
  <c r="N23" i="7"/>
  <c r="F23" i="7"/>
  <c r="E23" i="7"/>
  <c r="AZ22" i="7"/>
  <c r="AX22" i="7"/>
  <c r="AV22" i="7"/>
  <c r="AP22" i="7"/>
  <c r="AK22" i="7"/>
  <c r="AE22" i="7"/>
  <c r="Y22" i="7"/>
  <c r="S22" i="7"/>
  <c r="N22" i="7"/>
  <c r="AM22" i="7" s="1"/>
  <c r="F22" i="7"/>
  <c r="E22" i="7"/>
  <c r="AP21" i="7"/>
  <c r="AN21" i="7"/>
  <c r="AK21" i="7"/>
  <c r="AE21" i="7"/>
  <c r="Y21" i="7"/>
  <c r="S21" i="7"/>
  <c r="N21" i="7"/>
  <c r="AM21" i="7" s="1"/>
  <c r="AQ21" i="7" s="1"/>
  <c r="L21" i="7"/>
  <c r="F21" i="7"/>
  <c r="E21" i="7"/>
  <c r="AP20" i="7"/>
  <c r="AK20" i="7"/>
  <c r="AE20" i="7"/>
  <c r="Y20" i="7"/>
  <c r="S20" i="7"/>
  <c r="N20" i="7"/>
  <c r="AM20" i="7" s="1"/>
  <c r="F20" i="7"/>
  <c r="E20" i="7"/>
  <c r="AZ19" i="7"/>
  <c r="AX19" i="7"/>
  <c r="AV19" i="7"/>
  <c r="AP19" i="7"/>
  <c r="AK19" i="7"/>
  <c r="AE19" i="7"/>
  <c r="AB19" i="7"/>
  <c r="Y19" i="7"/>
  <c r="S19" i="7"/>
  <c r="N19" i="7"/>
  <c r="AM19" i="7" s="1"/>
  <c r="F19" i="7"/>
  <c r="E19" i="7"/>
  <c r="AP18" i="7"/>
  <c r="AN18" i="7"/>
  <c r="AK18" i="7"/>
  <c r="AE18" i="7"/>
  <c r="Y18" i="7"/>
  <c r="S18" i="7"/>
  <c r="N18" i="7"/>
  <c r="AM18" i="7" s="1"/>
  <c r="AQ18" i="7" s="1"/>
  <c r="L18" i="7"/>
  <c r="F18" i="7"/>
  <c r="E18" i="7"/>
  <c r="AZ17" i="7"/>
  <c r="AX17" i="7"/>
  <c r="AV17" i="7"/>
  <c r="AP17" i="7"/>
  <c r="AN17" i="7"/>
  <c r="AK17" i="7"/>
  <c r="AE17" i="7"/>
  <c r="L17" i="7" s="1"/>
  <c r="AB17" i="7"/>
  <c r="AB6" i="7" s="1"/>
  <c r="Y17" i="7"/>
  <c r="S17" i="7"/>
  <c r="N17" i="7"/>
  <c r="AM17" i="7" s="1"/>
  <c r="F17" i="7"/>
  <c r="E17" i="7"/>
  <c r="AZ16" i="7"/>
  <c r="AX16" i="7"/>
  <c r="AV16" i="7"/>
  <c r="AN16" i="7"/>
  <c r="AM16" i="7"/>
  <c r="AK16" i="7"/>
  <c r="AE16" i="7"/>
  <c r="Y16" i="7"/>
  <c r="S16" i="7"/>
  <c r="N16" i="7"/>
  <c r="F16" i="7"/>
  <c r="E16" i="7"/>
  <c r="AP15" i="7"/>
  <c r="AQ15" i="7" s="1"/>
  <c r="AN15" i="7"/>
  <c r="AK15" i="7"/>
  <c r="AE15" i="7"/>
  <c r="Y15" i="7"/>
  <c r="S15" i="7"/>
  <c r="N15" i="7"/>
  <c r="AM15" i="7" s="1"/>
  <c r="L15" i="7"/>
  <c r="F15" i="7"/>
  <c r="E15" i="7"/>
  <c r="AN14" i="7"/>
  <c r="AM14" i="7"/>
  <c r="AK14" i="7"/>
  <c r="AE14" i="7"/>
  <c r="AP14" i="7" s="1"/>
  <c r="Y14" i="7"/>
  <c r="S14" i="7"/>
  <c r="N14" i="7"/>
  <c r="L14" i="7"/>
  <c r="F14" i="7"/>
  <c r="E14" i="7"/>
  <c r="AQ13" i="7"/>
  <c r="AP13" i="7"/>
  <c r="AN13" i="7"/>
  <c r="AK13" i="7"/>
  <c r="AE13" i="7"/>
  <c r="Y13" i="7"/>
  <c r="S13" i="7"/>
  <c r="N13" i="7"/>
  <c r="AM13" i="7" s="1"/>
  <c r="L13" i="7"/>
  <c r="F13" i="7"/>
  <c r="E13" i="7"/>
  <c r="AP12" i="7"/>
  <c r="AN12" i="7"/>
  <c r="AM12" i="7"/>
  <c r="AK12" i="7"/>
  <c r="AE12" i="7"/>
  <c r="Y12" i="7"/>
  <c r="S12" i="7"/>
  <c r="N12" i="7"/>
  <c r="L12" i="7"/>
  <c r="F12" i="7"/>
  <c r="E12" i="7"/>
  <c r="AZ11" i="7"/>
  <c r="AX11" i="7"/>
  <c r="AV11" i="7"/>
  <c r="AN11" i="7"/>
  <c r="AM11" i="7"/>
  <c r="AK11" i="7"/>
  <c r="AE11" i="7"/>
  <c r="Y11" i="7"/>
  <c r="S11" i="7"/>
  <c r="N11" i="7"/>
  <c r="F11" i="7"/>
  <c r="E11" i="7"/>
  <c r="AP10" i="7"/>
  <c r="AN10" i="7"/>
  <c r="AM10" i="7"/>
  <c r="AK10" i="7"/>
  <c r="AE10" i="7"/>
  <c r="Y10" i="7"/>
  <c r="S10" i="7"/>
  <c r="N10" i="7"/>
  <c r="L10" i="7"/>
  <c r="F10" i="7"/>
  <c r="E10" i="7"/>
  <c r="AZ9" i="7"/>
  <c r="AX9" i="7"/>
  <c r="AV9" i="7"/>
  <c r="AP9" i="7"/>
  <c r="AN9" i="7"/>
  <c r="AM9" i="7"/>
  <c r="AQ9" i="7" s="1"/>
  <c r="AK9" i="7"/>
  <c r="AE9" i="7"/>
  <c r="Y9" i="7"/>
  <c r="S9" i="7"/>
  <c r="N9" i="7"/>
  <c r="L9" i="7"/>
  <c r="F9" i="7"/>
  <c r="E9" i="7"/>
  <c r="AZ8" i="7"/>
  <c r="AX8" i="7"/>
  <c r="AV8" i="7"/>
  <c r="AP8" i="7"/>
  <c r="AN8" i="7"/>
  <c r="AM8" i="7"/>
  <c r="AQ8" i="7" s="1"/>
  <c r="AK8" i="7"/>
  <c r="AK6" i="7" s="1"/>
  <c r="AE8" i="7"/>
  <c r="Y8" i="7"/>
  <c r="S8" i="7"/>
  <c r="N8" i="7"/>
  <c r="L8" i="7"/>
  <c r="F8" i="7"/>
  <c r="E8" i="7"/>
  <c r="AX7" i="7"/>
  <c r="AV7" i="7"/>
  <c r="AN7" i="7"/>
  <c r="AM7" i="7"/>
  <c r="AK7" i="7"/>
  <c r="AE7" i="7"/>
  <c r="L7" i="7" s="1"/>
  <c r="Y7" i="7"/>
  <c r="AP7" i="7" s="1"/>
  <c r="S7" i="7"/>
  <c r="N7" i="7"/>
  <c r="F7" i="7"/>
  <c r="E7" i="7"/>
  <c r="AD6" i="7"/>
  <c r="AC6" i="7"/>
  <c r="Z6" i="7"/>
  <c r="T6" i="7"/>
  <c r="R6" i="7"/>
  <c r="Q6" i="7"/>
  <c r="P6" i="7"/>
  <c r="K6" i="7"/>
  <c r="J6" i="7"/>
  <c r="E6" i="7"/>
  <c r="AK545" i="6"/>
  <c r="M545" i="6"/>
  <c r="L545" i="6"/>
  <c r="K545" i="6"/>
  <c r="J545" i="6"/>
  <c r="E545" i="6"/>
  <c r="D545" i="6"/>
  <c r="AJ544" i="6"/>
  <c r="AH544" i="6"/>
  <c r="AE544" i="6"/>
  <c r="Y544" i="6"/>
  <c r="S544" i="6"/>
  <c r="M544" i="6"/>
  <c r="H544" i="6"/>
  <c r="AG544" i="6" s="1"/>
  <c r="F544" i="6"/>
  <c r="A544" i="6"/>
  <c r="AH543" i="6"/>
  <c r="AG543" i="6"/>
  <c r="AE543" i="6"/>
  <c r="Y543" i="6"/>
  <c r="S543" i="6"/>
  <c r="AJ543" i="6" s="1"/>
  <c r="M543" i="6"/>
  <c r="F543" i="6" s="1"/>
  <c r="H543" i="6"/>
  <c r="A543" i="6"/>
  <c r="AJ542" i="6"/>
  <c r="AE542" i="6"/>
  <c r="Y542" i="6"/>
  <c r="S542" i="6"/>
  <c r="M542" i="6"/>
  <c r="H542" i="6"/>
  <c r="AG542" i="6" s="1"/>
  <c r="A542" i="6"/>
  <c r="AE541" i="6"/>
  <c r="Y541" i="6"/>
  <c r="AJ541" i="6" s="1"/>
  <c r="S541" i="6"/>
  <c r="M541" i="6"/>
  <c r="H541" i="6"/>
  <c r="AG541" i="6" s="1"/>
  <c r="A541" i="6"/>
  <c r="AH540" i="6"/>
  <c r="AG540" i="6"/>
  <c r="AE540" i="6"/>
  <c r="Y540" i="6"/>
  <c r="S540" i="6"/>
  <c r="M540" i="6"/>
  <c r="H540" i="6"/>
  <c r="A540" i="6"/>
  <c r="AJ539" i="6"/>
  <c r="AH539" i="6"/>
  <c r="AG539" i="6"/>
  <c r="AK539" i="6" s="1"/>
  <c r="AE539" i="6"/>
  <c r="Y539" i="6"/>
  <c r="S539" i="6"/>
  <c r="M539" i="6"/>
  <c r="H539" i="6"/>
  <c r="F539" i="6"/>
  <c r="A539" i="6"/>
  <c r="AG538" i="6"/>
  <c r="AE538" i="6"/>
  <c r="Y538" i="6"/>
  <c r="S538" i="6"/>
  <c r="AJ538" i="6" s="1"/>
  <c r="M538" i="6"/>
  <c r="H538" i="6"/>
  <c r="A538" i="6"/>
  <c r="AJ537" i="6"/>
  <c r="AH537" i="6"/>
  <c r="AE537" i="6"/>
  <c r="Y537" i="6"/>
  <c r="S537" i="6"/>
  <c r="M537" i="6"/>
  <c r="H537" i="6"/>
  <c r="AG537" i="6" s="1"/>
  <c r="F537" i="6"/>
  <c r="A537" i="6"/>
  <c r="AH536" i="6"/>
  <c r="AE536" i="6"/>
  <c r="Y536" i="6"/>
  <c r="S536" i="6"/>
  <c r="M536" i="6"/>
  <c r="H536" i="6"/>
  <c r="AG536" i="6" s="1"/>
  <c r="A536" i="6"/>
  <c r="AH535" i="6"/>
  <c r="AG535" i="6"/>
  <c r="AE535" i="6"/>
  <c r="Y535" i="6"/>
  <c r="S535" i="6"/>
  <c r="M535" i="6"/>
  <c r="H535" i="6"/>
  <c r="A535" i="6"/>
  <c r="AJ534" i="6"/>
  <c r="AH534" i="6"/>
  <c r="AG534" i="6"/>
  <c r="AK534" i="6" s="1"/>
  <c r="AE534" i="6"/>
  <c r="Y534" i="6"/>
  <c r="S534" i="6"/>
  <c r="M534" i="6"/>
  <c r="F534" i="6" s="1"/>
  <c r="H534" i="6"/>
  <c r="A534" i="6"/>
  <c r="AJ533" i="6"/>
  <c r="AE533" i="6"/>
  <c r="Y533" i="6"/>
  <c r="S533" i="6"/>
  <c r="M533" i="6"/>
  <c r="AH533" i="6" s="1"/>
  <c r="H533" i="6"/>
  <c r="AG533" i="6" s="1"/>
  <c r="AK533" i="6" s="1"/>
  <c r="F533" i="6"/>
  <c r="A533" i="6"/>
  <c r="AJ532" i="6"/>
  <c r="AH532" i="6"/>
  <c r="AG532" i="6"/>
  <c r="AE532" i="6"/>
  <c r="Y532" i="6"/>
  <c r="S532" i="6"/>
  <c r="M532" i="6"/>
  <c r="H532" i="6"/>
  <c r="F532" i="6"/>
  <c r="A532" i="6"/>
  <c r="AG531" i="6"/>
  <c r="AE531" i="6"/>
  <c r="Y531" i="6"/>
  <c r="S531" i="6"/>
  <c r="AJ531" i="6" s="1"/>
  <c r="M531" i="6"/>
  <c r="H531" i="6"/>
  <c r="A531" i="6"/>
  <c r="AG530" i="6"/>
  <c r="AE530" i="6"/>
  <c r="Y530" i="6"/>
  <c r="S530" i="6"/>
  <c r="AJ530" i="6" s="1"/>
  <c r="M530" i="6"/>
  <c r="H530" i="6"/>
  <c r="A530" i="6"/>
  <c r="AH529" i="6"/>
  <c r="AG529" i="6"/>
  <c r="AE529" i="6"/>
  <c r="Y529" i="6"/>
  <c r="S529" i="6"/>
  <c r="M529" i="6"/>
  <c r="H529" i="6"/>
  <c r="A529" i="6"/>
  <c r="AJ528" i="6"/>
  <c r="AH528" i="6"/>
  <c r="AE528" i="6"/>
  <c r="Y528" i="6"/>
  <c r="S528" i="6"/>
  <c r="M528" i="6"/>
  <c r="F528" i="6" s="1"/>
  <c r="H528" i="6"/>
  <c r="AG528" i="6" s="1"/>
  <c r="AK528" i="6" s="1"/>
  <c r="A528" i="6"/>
  <c r="AH527" i="6"/>
  <c r="AG527" i="6"/>
  <c r="AE527" i="6"/>
  <c r="Y527" i="6"/>
  <c r="S527" i="6"/>
  <c r="AJ527" i="6" s="1"/>
  <c r="M527" i="6"/>
  <c r="F527" i="6" s="1"/>
  <c r="H527" i="6"/>
  <c r="A527" i="6"/>
  <c r="AJ526" i="6"/>
  <c r="AE526" i="6"/>
  <c r="Y526" i="6"/>
  <c r="S526" i="6"/>
  <c r="M526" i="6"/>
  <c r="H526" i="6"/>
  <c r="AG526" i="6" s="1"/>
  <c r="A526" i="6"/>
  <c r="AE525" i="6"/>
  <c r="Y525" i="6"/>
  <c r="S525" i="6"/>
  <c r="AJ525" i="6" s="1"/>
  <c r="M525" i="6"/>
  <c r="H525" i="6"/>
  <c r="AG525" i="6" s="1"/>
  <c r="A525" i="6"/>
  <c r="AH524" i="6"/>
  <c r="AG524" i="6"/>
  <c r="AE524" i="6"/>
  <c r="Y524" i="6"/>
  <c r="S524" i="6"/>
  <c r="M524" i="6"/>
  <c r="H524" i="6"/>
  <c r="A524" i="6"/>
  <c r="AJ523" i="6"/>
  <c r="AH523" i="6"/>
  <c r="AE523" i="6"/>
  <c r="Y523" i="6"/>
  <c r="S523" i="6"/>
  <c r="M523" i="6"/>
  <c r="H523" i="6"/>
  <c r="AG523" i="6" s="1"/>
  <c r="AK523" i="6" s="1"/>
  <c r="F523" i="6"/>
  <c r="A523" i="6"/>
  <c r="AE522" i="6"/>
  <c r="Y522" i="6"/>
  <c r="S522" i="6"/>
  <c r="AJ522" i="6" s="1"/>
  <c r="M522" i="6"/>
  <c r="H522" i="6"/>
  <c r="AG522" i="6" s="1"/>
  <c r="A522" i="6"/>
  <c r="AH521" i="6"/>
  <c r="AG521" i="6"/>
  <c r="AK521" i="6" s="1"/>
  <c r="AE521" i="6"/>
  <c r="Y521" i="6"/>
  <c r="AJ521" i="6" s="1"/>
  <c r="S521" i="6"/>
  <c r="M521" i="6"/>
  <c r="H521" i="6"/>
  <c r="A521" i="6"/>
  <c r="AJ520" i="6"/>
  <c r="AK520" i="6" s="1"/>
  <c r="AH520" i="6"/>
  <c r="AE520" i="6"/>
  <c r="Y520" i="6"/>
  <c r="S520" i="6"/>
  <c r="M520" i="6"/>
  <c r="H520" i="6"/>
  <c r="AG520" i="6" s="1"/>
  <c r="F520" i="6"/>
  <c r="A520" i="6"/>
  <c r="AH519" i="6"/>
  <c r="AG519" i="6"/>
  <c r="AE519" i="6"/>
  <c r="Y519" i="6"/>
  <c r="S519" i="6"/>
  <c r="M519" i="6"/>
  <c r="H519" i="6"/>
  <c r="A519" i="6"/>
  <c r="AJ518" i="6"/>
  <c r="AH518" i="6"/>
  <c r="AE518" i="6"/>
  <c r="Y518" i="6"/>
  <c r="S518" i="6"/>
  <c r="M518" i="6"/>
  <c r="H518" i="6"/>
  <c r="AG518" i="6" s="1"/>
  <c r="AK518" i="6" s="1"/>
  <c r="F518" i="6"/>
  <c r="A518" i="6"/>
  <c r="AE517" i="6"/>
  <c r="Y517" i="6"/>
  <c r="S517" i="6"/>
  <c r="AJ517" i="6" s="1"/>
  <c r="M517" i="6"/>
  <c r="AH517" i="6" s="1"/>
  <c r="H517" i="6"/>
  <c r="AG517" i="6" s="1"/>
  <c r="F517" i="6"/>
  <c r="A517" i="6"/>
  <c r="AG516" i="6"/>
  <c r="AE516" i="6"/>
  <c r="Y516" i="6"/>
  <c r="S516" i="6"/>
  <c r="AJ516" i="6" s="1"/>
  <c r="M516" i="6"/>
  <c r="H516" i="6"/>
  <c r="A516" i="6"/>
  <c r="Y515" i="6"/>
  <c r="L515" i="6"/>
  <c r="K515" i="6"/>
  <c r="J515" i="6"/>
  <c r="E515" i="6"/>
  <c r="D515" i="6"/>
  <c r="AE514" i="6"/>
  <c r="Y514" i="6"/>
  <c r="S514" i="6"/>
  <c r="AJ514" i="6" s="1"/>
  <c r="M514" i="6"/>
  <c r="H514" i="6"/>
  <c r="AG514" i="6" s="1"/>
  <c r="A514" i="6"/>
  <c r="AH513" i="6"/>
  <c r="AG513" i="6"/>
  <c r="AE513" i="6"/>
  <c r="Y513" i="6"/>
  <c r="S513" i="6"/>
  <c r="M513" i="6"/>
  <c r="H513" i="6"/>
  <c r="A513" i="6"/>
  <c r="AJ512" i="6"/>
  <c r="AH512" i="6"/>
  <c r="AE512" i="6"/>
  <c r="Y512" i="6"/>
  <c r="S512" i="6"/>
  <c r="M512" i="6"/>
  <c r="H512" i="6"/>
  <c r="AG512" i="6" s="1"/>
  <c r="F512" i="6"/>
  <c r="A512" i="6"/>
  <c r="AG511" i="6"/>
  <c r="AE511" i="6"/>
  <c r="Y511" i="6"/>
  <c r="S511" i="6"/>
  <c r="M511" i="6"/>
  <c r="H511" i="6"/>
  <c r="A511" i="6"/>
  <c r="AJ510" i="6"/>
  <c r="AH510" i="6"/>
  <c r="AG510" i="6"/>
  <c r="AK510" i="6" s="1"/>
  <c r="AE510" i="6"/>
  <c r="Y510" i="6"/>
  <c r="S510" i="6"/>
  <c r="M510" i="6"/>
  <c r="H510" i="6"/>
  <c r="F510" i="6"/>
  <c r="A510" i="6"/>
  <c r="AK509" i="6"/>
  <c r="AJ509" i="6"/>
  <c r="AE509" i="6"/>
  <c r="Y509" i="6"/>
  <c r="S509" i="6"/>
  <c r="M509" i="6"/>
  <c r="AH509" i="6" s="1"/>
  <c r="H509" i="6"/>
  <c r="AG509" i="6" s="1"/>
  <c r="F509" i="6"/>
  <c r="A509" i="6"/>
  <c r="AH508" i="6"/>
  <c r="AG508" i="6"/>
  <c r="AE508" i="6"/>
  <c r="Y508" i="6"/>
  <c r="S508" i="6"/>
  <c r="M508" i="6"/>
  <c r="H508" i="6"/>
  <c r="A508" i="6"/>
  <c r="AJ507" i="6"/>
  <c r="AH507" i="6"/>
  <c r="AG507" i="6"/>
  <c r="AE507" i="6"/>
  <c r="Y507" i="6"/>
  <c r="S507" i="6"/>
  <c r="M507" i="6"/>
  <c r="F507" i="6" s="1"/>
  <c r="H507" i="6"/>
  <c r="A507" i="6"/>
  <c r="AE506" i="6"/>
  <c r="Y506" i="6"/>
  <c r="S506" i="6"/>
  <c r="AJ506" i="6" s="1"/>
  <c r="M506" i="6"/>
  <c r="H506" i="6"/>
  <c r="AG506" i="6" s="1"/>
  <c r="A506" i="6"/>
  <c r="AH505" i="6"/>
  <c r="AG505" i="6"/>
  <c r="AK505" i="6" s="1"/>
  <c r="AE505" i="6"/>
  <c r="Y505" i="6"/>
  <c r="AJ505" i="6" s="1"/>
  <c r="S505" i="6"/>
  <c r="M505" i="6"/>
  <c r="M515" i="6" s="1"/>
  <c r="AH515" i="6" s="1"/>
  <c r="AK515" i="6" s="1"/>
  <c r="H505" i="6"/>
  <c r="F505" i="6"/>
  <c r="A505" i="6"/>
  <c r="AJ504" i="6"/>
  <c r="AH504" i="6"/>
  <c r="AE504" i="6"/>
  <c r="Y504" i="6"/>
  <c r="S504" i="6"/>
  <c r="M504" i="6"/>
  <c r="H504" i="6"/>
  <c r="AG504" i="6" s="1"/>
  <c r="F504" i="6"/>
  <c r="A504" i="6"/>
  <c r="AG503" i="6"/>
  <c r="AE503" i="6"/>
  <c r="Y503" i="6"/>
  <c r="S503" i="6"/>
  <c r="AJ503" i="6" s="1"/>
  <c r="M503" i="6"/>
  <c r="H503" i="6"/>
  <c r="A503" i="6"/>
  <c r="AJ502" i="6"/>
  <c r="AH502" i="6"/>
  <c r="AG502" i="6"/>
  <c r="AK502" i="6" s="1"/>
  <c r="AE502" i="6"/>
  <c r="Y502" i="6"/>
  <c r="S502" i="6"/>
  <c r="M502" i="6"/>
  <c r="H502" i="6"/>
  <c r="F502" i="6"/>
  <c r="A502" i="6"/>
  <c r="L501" i="6"/>
  <c r="K501" i="6"/>
  <c r="J501" i="6"/>
  <c r="E501" i="6"/>
  <c r="D501" i="6"/>
  <c r="AH500" i="6"/>
  <c r="AG500" i="6"/>
  <c r="AE500" i="6"/>
  <c r="Y500" i="6"/>
  <c r="S500" i="6"/>
  <c r="M500" i="6"/>
  <c r="H500" i="6"/>
  <c r="A500" i="6"/>
  <c r="AJ499" i="6"/>
  <c r="AH499" i="6"/>
  <c r="AE499" i="6"/>
  <c r="Y499" i="6"/>
  <c r="S499" i="6"/>
  <c r="M499" i="6"/>
  <c r="H499" i="6"/>
  <c r="AG499" i="6" s="1"/>
  <c r="AK499" i="6" s="1"/>
  <c r="F499" i="6"/>
  <c r="A499" i="6"/>
  <c r="AG498" i="6"/>
  <c r="AE498" i="6"/>
  <c r="Y498" i="6"/>
  <c r="S498" i="6"/>
  <c r="AJ498" i="6" s="1"/>
  <c r="M498" i="6"/>
  <c r="H498" i="6"/>
  <c r="A498" i="6"/>
  <c r="AJ497" i="6"/>
  <c r="AH497" i="6"/>
  <c r="AG497" i="6"/>
  <c r="AK497" i="6" s="1"/>
  <c r="AE497" i="6"/>
  <c r="Y497" i="6"/>
  <c r="S497" i="6"/>
  <c r="M497" i="6"/>
  <c r="H497" i="6"/>
  <c r="F497" i="6"/>
  <c r="A497" i="6"/>
  <c r="AJ496" i="6"/>
  <c r="AK496" i="6" s="1"/>
  <c r="AE496" i="6"/>
  <c r="Y496" i="6"/>
  <c r="S496" i="6"/>
  <c r="M496" i="6"/>
  <c r="AH496" i="6" s="1"/>
  <c r="H496" i="6"/>
  <c r="AG496" i="6" s="1"/>
  <c r="F496" i="6"/>
  <c r="A496" i="6"/>
  <c r="AH495" i="6"/>
  <c r="AG495" i="6"/>
  <c r="AE495" i="6"/>
  <c r="Y495" i="6"/>
  <c r="S495" i="6"/>
  <c r="M495" i="6"/>
  <c r="H495" i="6"/>
  <c r="A495" i="6"/>
  <c r="AJ494" i="6"/>
  <c r="AH494" i="6"/>
  <c r="AG494" i="6"/>
  <c r="AE494" i="6"/>
  <c r="Y494" i="6"/>
  <c r="S494" i="6"/>
  <c r="M494" i="6"/>
  <c r="F494" i="6" s="1"/>
  <c r="H494" i="6"/>
  <c r="A494" i="6"/>
  <c r="AE493" i="6"/>
  <c r="Y493" i="6"/>
  <c r="S493" i="6"/>
  <c r="AJ493" i="6" s="1"/>
  <c r="M493" i="6"/>
  <c r="H493" i="6"/>
  <c r="AG493" i="6" s="1"/>
  <c r="A493" i="6"/>
  <c r="AH492" i="6"/>
  <c r="AG492" i="6"/>
  <c r="AE492" i="6"/>
  <c r="Y492" i="6"/>
  <c r="AJ492" i="6" s="1"/>
  <c r="S492" i="6"/>
  <c r="M492" i="6"/>
  <c r="H492" i="6"/>
  <c r="F492" i="6"/>
  <c r="A492" i="6"/>
  <c r="AJ491" i="6"/>
  <c r="AH491" i="6"/>
  <c r="AE491" i="6"/>
  <c r="Y491" i="6"/>
  <c r="S491" i="6"/>
  <c r="M491" i="6"/>
  <c r="M501" i="6" s="1"/>
  <c r="AH501" i="6" s="1"/>
  <c r="AK501" i="6" s="1"/>
  <c r="H491" i="6"/>
  <c r="AG491" i="6" s="1"/>
  <c r="F491" i="6"/>
  <c r="A491" i="6"/>
  <c r="L490" i="6"/>
  <c r="K490" i="6"/>
  <c r="J490" i="6"/>
  <c r="E490" i="6"/>
  <c r="D490" i="6"/>
  <c r="AJ489" i="6"/>
  <c r="AH489" i="6"/>
  <c r="AG489" i="6"/>
  <c r="AE489" i="6"/>
  <c r="Y489" i="6"/>
  <c r="S489" i="6"/>
  <c r="M489" i="6"/>
  <c r="F489" i="6" s="1"/>
  <c r="H489" i="6"/>
  <c r="A489" i="6"/>
  <c r="AK488" i="6"/>
  <c r="AJ488" i="6"/>
  <c r="AE488" i="6"/>
  <c r="M488" i="6"/>
  <c r="AH488" i="6" s="1"/>
  <c r="H488" i="6"/>
  <c r="AG488" i="6" s="1"/>
  <c r="F488" i="6"/>
  <c r="A488" i="6"/>
  <c r="AG487" i="6"/>
  <c r="AE487" i="6"/>
  <c r="Y487" i="6"/>
  <c r="S487" i="6"/>
  <c r="AJ487" i="6" s="1"/>
  <c r="M487" i="6"/>
  <c r="H487" i="6"/>
  <c r="A487" i="6"/>
  <c r="AJ486" i="6"/>
  <c r="AH486" i="6"/>
  <c r="AG486" i="6"/>
  <c r="AK486" i="6" s="1"/>
  <c r="AE486" i="6"/>
  <c r="Y486" i="6"/>
  <c r="S486" i="6"/>
  <c r="M486" i="6"/>
  <c r="H486" i="6"/>
  <c r="F486" i="6"/>
  <c r="A486" i="6"/>
  <c r="AK485" i="6"/>
  <c r="AJ485" i="6"/>
  <c r="AE485" i="6"/>
  <c r="Y485" i="6"/>
  <c r="S485" i="6"/>
  <c r="M485" i="6"/>
  <c r="AH485" i="6" s="1"/>
  <c r="H485" i="6"/>
  <c r="AG485" i="6" s="1"/>
  <c r="F485" i="6"/>
  <c r="A485" i="6"/>
  <c r="AH484" i="6"/>
  <c r="AG484" i="6"/>
  <c r="AE484" i="6"/>
  <c r="Y484" i="6"/>
  <c r="S484" i="6"/>
  <c r="M484" i="6"/>
  <c r="H484" i="6"/>
  <c r="A484" i="6"/>
  <c r="AJ483" i="6"/>
  <c r="AH483" i="6"/>
  <c r="AG483" i="6"/>
  <c r="AK483" i="6" s="1"/>
  <c r="AE483" i="6"/>
  <c r="Y483" i="6"/>
  <c r="S483" i="6"/>
  <c r="M483" i="6"/>
  <c r="F483" i="6" s="1"/>
  <c r="H483" i="6"/>
  <c r="A483" i="6"/>
  <c r="AE482" i="6"/>
  <c r="Y482" i="6"/>
  <c r="S482" i="6"/>
  <c r="AJ482" i="6" s="1"/>
  <c r="M482" i="6"/>
  <c r="H482" i="6"/>
  <c r="AG482" i="6" s="1"/>
  <c r="A482" i="6"/>
  <c r="AH481" i="6"/>
  <c r="AG481" i="6"/>
  <c r="AE481" i="6"/>
  <c r="Y481" i="6"/>
  <c r="S481" i="6"/>
  <c r="M481" i="6"/>
  <c r="H481" i="6"/>
  <c r="F481" i="6"/>
  <c r="A481" i="6"/>
  <c r="AJ480" i="6"/>
  <c r="AH480" i="6"/>
  <c r="AE480" i="6"/>
  <c r="Y480" i="6"/>
  <c r="S480" i="6"/>
  <c r="M480" i="6"/>
  <c r="H480" i="6"/>
  <c r="AG480" i="6" s="1"/>
  <c r="F480" i="6"/>
  <c r="A480" i="6"/>
  <c r="AG479" i="6"/>
  <c r="AE479" i="6"/>
  <c r="Y479" i="6"/>
  <c r="S479" i="6"/>
  <c r="M479" i="6"/>
  <c r="H479" i="6"/>
  <c r="A479" i="6"/>
  <c r="S478" i="6"/>
  <c r="L478" i="6"/>
  <c r="K478" i="6"/>
  <c r="J478" i="6"/>
  <c r="E478" i="6"/>
  <c r="D478" i="6"/>
  <c r="AK477" i="6"/>
  <c r="AE477" i="6"/>
  <c r="Y477" i="6"/>
  <c r="S477" i="6"/>
  <c r="AJ477" i="6" s="1"/>
  <c r="M477" i="6"/>
  <c r="AH477" i="6" s="1"/>
  <c r="H477" i="6"/>
  <c r="AG477" i="6" s="1"/>
  <c r="A477" i="6"/>
  <c r="AH476" i="6"/>
  <c r="AG476" i="6"/>
  <c r="AE476" i="6"/>
  <c r="Y476" i="6"/>
  <c r="S476" i="6"/>
  <c r="M476" i="6"/>
  <c r="H476" i="6"/>
  <c r="F476" i="6"/>
  <c r="A476" i="6"/>
  <c r="AJ475" i="6"/>
  <c r="AH475" i="6"/>
  <c r="AE475" i="6"/>
  <c r="Y475" i="6"/>
  <c r="S475" i="6"/>
  <c r="M475" i="6"/>
  <c r="H475" i="6"/>
  <c r="AG475" i="6" s="1"/>
  <c r="F475" i="6"/>
  <c r="A475" i="6"/>
  <c r="AG474" i="6"/>
  <c r="AE474" i="6"/>
  <c r="Y474" i="6"/>
  <c r="S474" i="6"/>
  <c r="AJ474" i="6" s="1"/>
  <c r="M474" i="6"/>
  <c r="H474" i="6"/>
  <c r="A474" i="6"/>
  <c r="AJ473" i="6"/>
  <c r="AH473" i="6"/>
  <c r="AG473" i="6"/>
  <c r="AK473" i="6" s="1"/>
  <c r="AE473" i="6"/>
  <c r="M473" i="6"/>
  <c r="H473" i="6"/>
  <c r="F473" i="6"/>
  <c r="A473" i="6"/>
  <c r="AJ472" i="6"/>
  <c r="AH472" i="6"/>
  <c r="AG472" i="6"/>
  <c r="AK472" i="6" s="1"/>
  <c r="AE472" i="6"/>
  <c r="Y472" i="6"/>
  <c r="S472" i="6"/>
  <c r="M472" i="6"/>
  <c r="H472" i="6"/>
  <c r="A472" i="6"/>
  <c r="L471" i="6"/>
  <c r="K471" i="6"/>
  <c r="J471" i="6"/>
  <c r="E471" i="6"/>
  <c r="D471" i="6"/>
  <c r="AJ470" i="6"/>
  <c r="AH470" i="6"/>
  <c r="AG470" i="6"/>
  <c r="AK470" i="6" s="1"/>
  <c r="AE470" i="6"/>
  <c r="Y470" i="6"/>
  <c r="S470" i="6"/>
  <c r="M470" i="6"/>
  <c r="H470" i="6"/>
  <c r="F470" i="6"/>
  <c r="A470" i="6"/>
  <c r="AJ469" i="6"/>
  <c r="AE469" i="6"/>
  <c r="Y469" i="6"/>
  <c r="S469" i="6"/>
  <c r="M469" i="6"/>
  <c r="AH469" i="6" s="1"/>
  <c r="H469" i="6"/>
  <c r="AG469" i="6" s="1"/>
  <c r="AK469" i="6" s="1"/>
  <c r="F469" i="6"/>
  <c r="A469" i="6"/>
  <c r="AH468" i="6"/>
  <c r="AG468" i="6"/>
  <c r="AE468" i="6"/>
  <c r="Y468" i="6"/>
  <c r="S468" i="6"/>
  <c r="M468" i="6"/>
  <c r="H468" i="6"/>
  <c r="F468" i="6"/>
  <c r="A468" i="6"/>
  <c r="AJ467" i="6"/>
  <c r="AH467" i="6"/>
  <c r="AG467" i="6"/>
  <c r="AK467" i="6" s="1"/>
  <c r="AE467" i="6"/>
  <c r="Y467" i="6"/>
  <c r="S467" i="6"/>
  <c r="M467" i="6"/>
  <c r="F467" i="6" s="1"/>
  <c r="H467" i="6"/>
  <c r="A467" i="6"/>
  <c r="AE466" i="6"/>
  <c r="Y466" i="6"/>
  <c r="S466" i="6"/>
  <c r="AJ466" i="6" s="1"/>
  <c r="M466" i="6"/>
  <c r="H466" i="6"/>
  <c r="AG466" i="6" s="1"/>
  <c r="A466" i="6"/>
  <c r="AH465" i="6"/>
  <c r="AG465" i="6"/>
  <c r="AE465" i="6"/>
  <c r="Y465" i="6"/>
  <c r="S465" i="6"/>
  <c r="M465" i="6"/>
  <c r="H465" i="6"/>
  <c r="A465" i="6"/>
  <c r="N464" i="6"/>
  <c r="L464" i="6"/>
  <c r="K464" i="6"/>
  <c r="J464" i="6"/>
  <c r="E464" i="6"/>
  <c r="D464" i="6"/>
  <c r="AH463" i="6"/>
  <c r="AG463" i="6"/>
  <c r="AE463" i="6"/>
  <c r="Y463" i="6"/>
  <c r="S463" i="6"/>
  <c r="M463" i="6"/>
  <c r="H463" i="6"/>
  <c r="F463" i="6"/>
  <c r="A463" i="6"/>
  <c r="AJ462" i="6"/>
  <c r="AH462" i="6"/>
  <c r="AG462" i="6"/>
  <c r="AK462" i="6" s="1"/>
  <c r="AE462" i="6"/>
  <c r="Y462" i="6"/>
  <c r="S462" i="6"/>
  <c r="M462" i="6"/>
  <c r="F462" i="6" s="1"/>
  <c r="H462" i="6"/>
  <c r="A462" i="6"/>
  <c r="AE461" i="6"/>
  <c r="Y461" i="6"/>
  <c r="S461" i="6"/>
  <c r="AJ461" i="6" s="1"/>
  <c r="M461" i="6"/>
  <c r="H461" i="6"/>
  <c r="AG461" i="6" s="1"/>
  <c r="A461" i="6"/>
  <c r="AH460" i="6"/>
  <c r="AG460" i="6"/>
  <c r="AE460" i="6"/>
  <c r="Y460" i="6"/>
  <c r="S460" i="6"/>
  <c r="M460" i="6"/>
  <c r="H460" i="6"/>
  <c r="A460" i="6"/>
  <c r="AJ459" i="6"/>
  <c r="AH459" i="6"/>
  <c r="AE459" i="6"/>
  <c r="Y459" i="6"/>
  <c r="S459" i="6"/>
  <c r="M459" i="6"/>
  <c r="H459" i="6"/>
  <c r="AG459" i="6" s="1"/>
  <c r="F459" i="6"/>
  <c r="A459" i="6"/>
  <c r="AG458" i="6"/>
  <c r="AE458" i="6"/>
  <c r="Y458" i="6"/>
  <c r="S458" i="6"/>
  <c r="AJ458" i="6" s="1"/>
  <c r="M458" i="6"/>
  <c r="H458" i="6"/>
  <c r="A458" i="6"/>
  <c r="AJ457" i="6"/>
  <c r="AH457" i="6"/>
  <c r="AG457" i="6"/>
  <c r="AK457" i="6" s="1"/>
  <c r="AE457" i="6"/>
  <c r="Y457" i="6"/>
  <c r="S457" i="6"/>
  <c r="M457" i="6"/>
  <c r="H457" i="6"/>
  <c r="F457" i="6"/>
  <c r="A457" i="6"/>
  <c r="AK456" i="6"/>
  <c r="AJ456" i="6"/>
  <c r="AE456" i="6"/>
  <c r="Y456" i="6"/>
  <c r="S456" i="6"/>
  <c r="M456" i="6"/>
  <c r="AH456" i="6" s="1"/>
  <c r="H456" i="6"/>
  <c r="AG456" i="6" s="1"/>
  <c r="F456" i="6"/>
  <c r="A456" i="6"/>
  <c r="AH455" i="6"/>
  <c r="AG455" i="6"/>
  <c r="AE455" i="6"/>
  <c r="Y455" i="6"/>
  <c r="S455" i="6"/>
  <c r="M455" i="6"/>
  <c r="H455" i="6"/>
  <c r="A455" i="6"/>
  <c r="AJ454" i="6"/>
  <c r="AH454" i="6"/>
  <c r="AG454" i="6"/>
  <c r="AK454" i="6" s="1"/>
  <c r="AE454" i="6"/>
  <c r="Y454" i="6"/>
  <c r="S454" i="6"/>
  <c r="M454" i="6"/>
  <c r="F454" i="6" s="1"/>
  <c r="H454" i="6"/>
  <c r="A454" i="6"/>
  <c r="AE453" i="6"/>
  <c r="Y453" i="6"/>
  <c r="S453" i="6"/>
  <c r="AJ453" i="6" s="1"/>
  <c r="M453" i="6"/>
  <c r="H453" i="6"/>
  <c r="AG453" i="6" s="1"/>
  <c r="A453" i="6"/>
  <c r="AH452" i="6"/>
  <c r="AG452" i="6"/>
  <c r="AK452" i="6" s="1"/>
  <c r="AE452" i="6"/>
  <c r="Y452" i="6"/>
  <c r="AJ452" i="6" s="1"/>
  <c r="S452" i="6"/>
  <c r="M452" i="6"/>
  <c r="H452" i="6"/>
  <c r="F452" i="6"/>
  <c r="A452" i="6"/>
  <c r="AJ451" i="6"/>
  <c r="AH451" i="6"/>
  <c r="AE451" i="6"/>
  <c r="Y451" i="6"/>
  <c r="S451" i="6"/>
  <c r="M451" i="6"/>
  <c r="H451" i="6"/>
  <c r="AG451" i="6" s="1"/>
  <c r="F451" i="6"/>
  <c r="A451" i="6"/>
  <c r="AG450" i="6"/>
  <c r="AE450" i="6"/>
  <c r="Y450" i="6"/>
  <c r="S450" i="6"/>
  <c r="AJ450" i="6" s="1"/>
  <c r="M450" i="6"/>
  <c r="H450" i="6"/>
  <c r="A450" i="6"/>
  <c r="AJ449" i="6"/>
  <c r="AH449" i="6"/>
  <c r="AG449" i="6"/>
  <c r="AK449" i="6" s="1"/>
  <c r="AE449" i="6"/>
  <c r="Y449" i="6"/>
  <c r="S449" i="6"/>
  <c r="M449" i="6"/>
  <c r="H449" i="6"/>
  <c r="F449" i="6"/>
  <c r="A449" i="6"/>
  <c r="AJ448" i="6"/>
  <c r="AE448" i="6"/>
  <c r="Y448" i="6"/>
  <c r="S448" i="6"/>
  <c r="M448" i="6"/>
  <c r="AH448" i="6" s="1"/>
  <c r="H448" i="6"/>
  <c r="AG448" i="6" s="1"/>
  <c r="AK448" i="6" s="1"/>
  <c r="F448" i="6"/>
  <c r="A448" i="6"/>
  <c r="AH447" i="6"/>
  <c r="AG447" i="6"/>
  <c r="AE447" i="6"/>
  <c r="Y447" i="6"/>
  <c r="Y464" i="6" s="1"/>
  <c r="S447" i="6"/>
  <c r="M447" i="6"/>
  <c r="H447" i="6"/>
  <c r="A447" i="6"/>
  <c r="W446" i="6"/>
  <c r="V446" i="6"/>
  <c r="R446" i="6"/>
  <c r="Q446" i="6"/>
  <c r="P446" i="6"/>
  <c r="O446" i="6"/>
  <c r="N446" i="6"/>
  <c r="L446" i="6"/>
  <c r="K446" i="6"/>
  <c r="J446" i="6"/>
  <c r="E446" i="6"/>
  <c r="D446" i="6"/>
  <c r="AK445" i="6"/>
  <c r="AJ445" i="6"/>
  <c r="AE445" i="6"/>
  <c r="Y445" i="6"/>
  <c r="S445" i="6"/>
  <c r="M445" i="6"/>
  <c r="AH445" i="6" s="1"/>
  <c r="H445" i="6"/>
  <c r="AG445" i="6" s="1"/>
  <c r="F445" i="6"/>
  <c r="A445" i="6"/>
  <c r="AH444" i="6"/>
  <c r="AG444" i="6"/>
  <c r="AE444" i="6"/>
  <c r="Y444" i="6"/>
  <c r="S444" i="6"/>
  <c r="M444" i="6"/>
  <c r="H444" i="6"/>
  <c r="A444" i="6"/>
  <c r="AJ443" i="6"/>
  <c r="AH443" i="6"/>
  <c r="AG443" i="6"/>
  <c r="AK443" i="6" s="1"/>
  <c r="AE443" i="6"/>
  <c r="Y443" i="6"/>
  <c r="S443" i="6"/>
  <c r="M443" i="6"/>
  <c r="F443" i="6" s="1"/>
  <c r="H443" i="6"/>
  <c r="A443" i="6"/>
  <c r="AE442" i="6"/>
  <c r="Y442" i="6"/>
  <c r="F442" i="6" s="1"/>
  <c r="S442" i="6"/>
  <c r="AJ442" i="6" s="1"/>
  <c r="M442" i="6"/>
  <c r="AH442" i="6" s="1"/>
  <c r="H442" i="6"/>
  <c r="AG442" i="6" s="1"/>
  <c r="A442" i="6"/>
  <c r="AH441" i="6"/>
  <c r="AG441" i="6"/>
  <c r="AE441" i="6"/>
  <c r="Y441" i="6"/>
  <c r="AJ441" i="6" s="1"/>
  <c r="S441" i="6"/>
  <c r="M441" i="6"/>
  <c r="H441" i="6"/>
  <c r="F441" i="6"/>
  <c r="A441" i="6"/>
  <c r="AJ440" i="6"/>
  <c r="AH440" i="6"/>
  <c r="AE440" i="6"/>
  <c r="Y440" i="6"/>
  <c r="S440" i="6"/>
  <c r="M440" i="6"/>
  <c r="F440" i="6" s="1"/>
  <c r="H440" i="6"/>
  <c r="AG440" i="6" s="1"/>
  <c r="AK440" i="6" s="1"/>
  <c r="A440" i="6"/>
  <c r="AG439" i="6"/>
  <c r="AE439" i="6"/>
  <c r="X439" i="6"/>
  <c r="S439" i="6"/>
  <c r="AJ439" i="6" s="1"/>
  <c r="M439" i="6"/>
  <c r="AH439" i="6" s="1"/>
  <c r="H439" i="6"/>
  <c r="A439" i="6"/>
  <c r="AJ438" i="6"/>
  <c r="AH438" i="6"/>
  <c r="AG438" i="6"/>
  <c r="AK438" i="6" s="1"/>
  <c r="AE438" i="6"/>
  <c r="Y438" i="6"/>
  <c r="S438" i="6"/>
  <c r="M438" i="6"/>
  <c r="H438" i="6"/>
  <c r="F438" i="6"/>
  <c r="A438" i="6"/>
  <c r="AE437" i="6"/>
  <c r="Y437" i="6"/>
  <c r="S437" i="6"/>
  <c r="AJ437" i="6" s="1"/>
  <c r="M437" i="6"/>
  <c r="H437" i="6"/>
  <c r="AG437" i="6" s="1"/>
  <c r="A437" i="6"/>
  <c r="AH436" i="6"/>
  <c r="AG436" i="6"/>
  <c r="AK436" i="6" s="1"/>
  <c r="AE436" i="6"/>
  <c r="Y436" i="6"/>
  <c r="AJ436" i="6" s="1"/>
  <c r="S436" i="6"/>
  <c r="M436" i="6"/>
  <c r="H436" i="6"/>
  <c r="F436" i="6"/>
  <c r="A436" i="6"/>
  <c r="AJ435" i="6"/>
  <c r="AH435" i="6"/>
  <c r="AE435" i="6"/>
  <c r="Y435" i="6"/>
  <c r="S435" i="6"/>
  <c r="M435" i="6"/>
  <c r="H435" i="6"/>
  <c r="AG435" i="6" s="1"/>
  <c r="F435" i="6"/>
  <c r="A435" i="6"/>
  <c r="AG434" i="6"/>
  <c r="AE434" i="6"/>
  <c r="Y434" i="6"/>
  <c r="S434" i="6"/>
  <c r="AJ434" i="6" s="1"/>
  <c r="M434" i="6"/>
  <c r="H434" i="6"/>
  <c r="A434" i="6"/>
  <c r="AJ433" i="6"/>
  <c r="AH433" i="6"/>
  <c r="AG433" i="6"/>
  <c r="AE433" i="6"/>
  <c r="Y433" i="6"/>
  <c r="S433" i="6"/>
  <c r="M433" i="6"/>
  <c r="H433" i="6"/>
  <c r="F433" i="6"/>
  <c r="A433" i="6"/>
  <c r="AJ432" i="6"/>
  <c r="AE432" i="6"/>
  <c r="Y432" i="6"/>
  <c r="S432" i="6"/>
  <c r="M432" i="6"/>
  <c r="AH432" i="6" s="1"/>
  <c r="H432" i="6"/>
  <c r="AG432" i="6" s="1"/>
  <c r="F432" i="6"/>
  <c r="A432" i="6"/>
  <c r="AH431" i="6"/>
  <c r="AG431" i="6"/>
  <c r="AE431" i="6"/>
  <c r="Y431" i="6"/>
  <c r="S431" i="6"/>
  <c r="AJ431" i="6" s="1"/>
  <c r="M431" i="6"/>
  <c r="H431" i="6"/>
  <c r="F431" i="6"/>
  <c r="A431" i="6"/>
  <c r="AJ430" i="6"/>
  <c r="AH430" i="6"/>
  <c r="AG430" i="6"/>
  <c r="AK430" i="6" s="1"/>
  <c r="AE430" i="6"/>
  <c r="Y430" i="6"/>
  <c r="S430" i="6"/>
  <c r="M430" i="6"/>
  <c r="F430" i="6" s="1"/>
  <c r="H430" i="6"/>
  <c r="A430" i="6"/>
  <c r="AE429" i="6"/>
  <c r="Y429" i="6"/>
  <c r="S429" i="6"/>
  <c r="M429" i="6"/>
  <c r="H429" i="6"/>
  <c r="AG429" i="6" s="1"/>
  <c r="A429" i="6"/>
  <c r="AH428" i="6"/>
  <c r="AG428" i="6"/>
  <c r="AE428" i="6"/>
  <c r="Y428" i="6"/>
  <c r="AJ428" i="6" s="1"/>
  <c r="S428" i="6"/>
  <c r="M428" i="6"/>
  <c r="H428" i="6"/>
  <c r="F428" i="6"/>
  <c r="A428" i="6"/>
  <c r="AH427" i="6"/>
  <c r="AE427" i="6"/>
  <c r="X427" i="6"/>
  <c r="Y427" i="6" s="1"/>
  <c r="F427" i="6" s="1"/>
  <c r="S427" i="6"/>
  <c r="M427" i="6"/>
  <c r="H427" i="6"/>
  <c r="AG427" i="6" s="1"/>
  <c r="A427" i="6"/>
  <c r="AH426" i="6"/>
  <c r="AG426" i="6"/>
  <c r="AE426" i="6"/>
  <c r="Y426" i="6"/>
  <c r="S426" i="6"/>
  <c r="AJ426" i="6" s="1"/>
  <c r="M426" i="6"/>
  <c r="F426" i="6" s="1"/>
  <c r="H426" i="6"/>
  <c r="A426" i="6"/>
  <c r="AJ425" i="6"/>
  <c r="AH425" i="6"/>
  <c r="AG425" i="6"/>
  <c r="AK425" i="6" s="1"/>
  <c r="AE425" i="6"/>
  <c r="Y425" i="6"/>
  <c r="S425" i="6"/>
  <c r="M425" i="6"/>
  <c r="F425" i="6" s="1"/>
  <c r="H425" i="6"/>
  <c r="A425" i="6"/>
  <c r="AE424" i="6"/>
  <c r="Y424" i="6"/>
  <c r="S424" i="6"/>
  <c r="M424" i="6"/>
  <c r="H424" i="6"/>
  <c r="AG424" i="6" s="1"/>
  <c r="A424" i="6"/>
  <c r="AJ423" i="6"/>
  <c r="AH423" i="6"/>
  <c r="AG423" i="6"/>
  <c r="AE423" i="6"/>
  <c r="AE446" i="6" s="1"/>
  <c r="Y423" i="6"/>
  <c r="S423" i="6"/>
  <c r="M423" i="6"/>
  <c r="H423" i="6"/>
  <c r="F423" i="6"/>
  <c r="A423" i="6"/>
  <c r="AH422" i="6"/>
  <c r="AE422" i="6"/>
  <c r="Y422" i="6"/>
  <c r="S422" i="6"/>
  <c r="AJ422" i="6" s="1"/>
  <c r="M422" i="6"/>
  <c r="M446" i="6" s="1"/>
  <c r="H422" i="6"/>
  <c r="AG422" i="6" s="1"/>
  <c r="F422" i="6"/>
  <c r="A422" i="6"/>
  <c r="N421" i="6"/>
  <c r="L421" i="6"/>
  <c r="K421" i="6"/>
  <c r="J421" i="6"/>
  <c r="E421" i="6"/>
  <c r="D421" i="6"/>
  <c r="AJ420" i="6"/>
  <c r="AH420" i="6"/>
  <c r="AE420" i="6"/>
  <c r="Y420" i="6"/>
  <c r="S420" i="6"/>
  <c r="M420" i="6"/>
  <c r="H420" i="6"/>
  <c r="AG420" i="6" s="1"/>
  <c r="F420" i="6"/>
  <c r="A420" i="6"/>
  <c r="AE419" i="6"/>
  <c r="Y419" i="6"/>
  <c r="S419" i="6"/>
  <c r="AJ419" i="6" s="1"/>
  <c r="M419" i="6"/>
  <c r="AH419" i="6" s="1"/>
  <c r="H419" i="6"/>
  <c r="AG419" i="6" s="1"/>
  <c r="F419" i="6"/>
  <c r="A419" i="6"/>
  <c r="AH418" i="6"/>
  <c r="AG418" i="6"/>
  <c r="AE418" i="6"/>
  <c r="Y418" i="6"/>
  <c r="S418" i="6"/>
  <c r="AJ418" i="6" s="1"/>
  <c r="M418" i="6"/>
  <c r="F418" i="6" s="1"/>
  <c r="H418" i="6"/>
  <c r="A418" i="6"/>
  <c r="AJ417" i="6"/>
  <c r="AH417" i="6"/>
  <c r="AG417" i="6"/>
  <c r="AE417" i="6"/>
  <c r="Y417" i="6"/>
  <c r="S417" i="6"/>
  <c r="M417" i="6"/>
  <c r="F417" i="6" s="1"/>
  <c r="H417" i="6"/>
  <c r="A417" i="6"/>
  <c r="AE416" i="6"/>
  <c r="Y416" i="6"/>
  <c r="S416" i="6"/>
  <c r="AJ416" i="6" s="1"/>
  <c r="M416" i="6"/>
  <c r="H416" i="6"/>
  <c r="AG416" i="6" s="1"/>
  <c r="A416" i="6"/>
  <c r="AJ415" i="6"/>
  <c r="AH415" i="6"/>
  <c r="AG415" i="6"/>
  <c r="AE415" i="6"/>
  <c r="Y415" i="6"/>
  <c r="S415" i="6"/>
  <c r="M415" i="6"/>
  <c r="H415" i="6"/>
  <c r="F415" i="6"/>
  <c r="A415" i="6"/>
  <c r="AJ414" i="6"/>
  <c r="AE414" i="6"/>
  <c r="Y414" i="6"/>
  <c r="S414" i="6"/>
  <c r="M414" i="6"/>
  <c r="AH414" i="6" s="1"/>
  <c r="H414" i="6"/>
  <c r="AG414" i="6" s="1"/>
  <c r="F414" i="6"/>
  <c r="A414" i="6"/>
  <c r="AG413" i="6"/>
  <c r="AE413" i="6"/>
  <c r="Y413" i="6"/>
  <c r="S413" i="6"/>
  <c r="AJ413" i="6" s="1"/>
  <c r="M413" i="6"/>
  <c r="H413" i="6"/>
  <c r="A413" i="6"/>
  <c r="AJ412" i="6"/>
  <c r="AH412" i="6"/>
  <c r="AE412" i="6"/>
  <c r="Y412" i="6"/>
  <c r="S412" i="6"/>
  <c r="M412" i="6"/>
  <c r="H412" i="6"/>
  <c r="AG412" i="6" s="1"/>
  <c r="AK412" i="6" s="1"/>
  <c r="F412" i="6"/>
  <c r="A412" i="6"/>
  <c r="AE411" i="6"/>
  <c r="Y411" i="6"/>
  <c r="S411" i="6"/>
  <c r="M411" i="6"/>
  <c r="AH411" i="6" s="1"/>
  <c r="H411" i="6"/>
  <c r="AG411" i="6" s="1"/>
  <c r="F411" i="6"/>
  <c r="A411" i="6"/>
  <c r="AH410" i="6"/>
  <c r="AG410" i="6"/>
  <c r="AE410" i="6"/>
  <c r="Y410" i="6"/>
  <c r="S410" i="6"/>
  <c r="M410" i="6"/>
  <c r="H410" i="6"/>
  <c r="A410" i="6"/>
  <c r="AJ409" i="6"/>
  <c r="AH409" i="6"/>
  <c r="AG409" i="6"/>
  <c r="AK409" i="6" s="1"/>
  <c r="AE409" i="6"/>
  <c r="Y409" i="6"/>
  <c r="S409" i="6"/>
  <c r="M409" i="6"/>
  <c r="F409" i="6" s="1"/>
  <c r="H409" i="6"/>
  <c r="A409" i="6"/>
  <c r="AE408" i="6"/>
  <c r="Y408" i="6"/>
  <c r="S408" i="6"/>
  <c r="M408" i="6"/>
  <c r="H408" i="6"/>
  <c r="AG408" i="6" s="1"/>
  <c r="A408" i="6"/>
  <c r="L407" i="6"/>
  <c r="K407" i="6"/>
  <c r="J407" i="6"/>
  <c r="E407" i="6"/>
  <c r="D407" i="6"/>
  <c r="AJ406" i="6"/>
  <c r="AH406" i="6"/>
  <c r="AG406" i="6"/>
  <c r="AK406" i="6" s="1"/>
  <c r="AE406" i="6"/>
  <c r="Y406" i="6"/>
  <c r="S406" i="6"/>
  <c r="M406" i="6"/>
  <c r="F406" i="6" s="1"/>
  <c r="H406" i="6"/>
  <c r="A406" i="6"/>
  <c r="AE405" i="6"/>
  <c r="Y405" i="6"/>
  <c r="S405" i="6"/>
  <c r="M405" i="6"/>
  <c r="H405" i="6"/>
  <c r="AG405" i="6" s="1"/>
  <c r="A405" i="6"/>
  <c r="AJ404" i="6"/>
  <c r="AH404" i="6"/>
  <c r="AG404" i="6"/>
  <c r="AK404" i="6" s="1"/>
  <c r="AE404" i="6"/>
  <c r="Y404" i="6"/>
  <c r="S404" i="6"/>
  <c r="M404" i="6"/>
  <c r="H404" i="6"/>
  <c r="F404" i="6"/>
  <c r="A404" i="6"/>
  <c r="AJ403" i="6"/>
  <c r="AH403" i="6"/>
  <c r="AE403" i="6"/>
  <c r="Y403" i="6"/>
  <c r="S403" i="6"/>
  <c r="M403" i="6"/>
  <c r="H403" i="6"/>
  <c r="AG403" i="6" s="1"/>
  <c r="F403" i="6"/>
  <c r="A403" i="6"/>
  <c r="AG402" i="6"/>
  <c r="AE402" i="6"/>
  <c r="Y402" i="6"/>
  <c r="S402" i="6"/>
  <c r="AJ402" i="6" s="1"/>
  <c r="M402" i="6"/>
  <c r="H402" i="6"/>
  <c r="A402" i="6"/>
  <c r="AJ401" i="6"/>
  <c r="AH401" i="6"/>
  <c r="AG401" i="6"/>
  <c r="AK401" i="6" s="1"/>
  <c r="AE401" i="6"/>
  <c r="Y401" i="6"/>
  <c r="S401" i="6"/>
  <c r="M401" i="6"/>
  <c r="H401" i="6"/>
  <c r="F401" i="6"/>
  <c r="A401" i="6"/>
  <c r="AE400" i="6"/>
  <c r="Y400" i="6"/>
  <c r="S400" i="6"/>
  <c r="AJ400" i="6" s="1"/>
  <c r="AK400" i="6" s="1"/>
  <c r="M400" i="6"/>
  <c r="AH400" i="6" s="1"/>
  <c r="H400" i="6"/>
  <c r="AG400" i="6" s="1"/>
  <c r="F400" i="6"/>
  <c r="A400" i="6"/>
  <c r="AH399" i="6"/>
  <c r="AG399" i="6"/>
  <c r="AE399" i="6"/>
  <c r="Y399" i="6"/>
  <c r="S399" i="6"/>
  <c r="M399" i="6"/>
  <c r="H399" i="6"/>
  <c r="F399" i="6"/>
  <c r="A399" i="6"/>
  <c r="AJ398" i="6"/>
  <c r="AH398" i="6"/>
  <c r="AG398" i="6"/>
  <c r="AK398" i="6" s="1"/>
  <c r="AE398" i="6"/>
  <c r="Y398" i="6"/>
  <c r="S398" i="6"/>
  <c r="M398" i="6"/>
  <c r="F398" i="6" s="1"/>
  <c r="H398" i="6"/>
  <c r="A398" i="6"/>
  <c r="AE397" i="6"/>
  <c r="Y397" i="6"/>
  <c r="Y407" i="6" s="1"/>
  <c r="S397" i="6"/>
  <c r="M397" i="6"/>
  <c r="H397" i="6"/>
  <c r="AG397" i="6" s="1"/>
  <c r="A397" i="6"/>
  <c r="AJ396" i="6"/>
  <c r="AH396" i="6"/>
  <c r="AG396" i="6"/>
  <c r="AK396" i="6" s="1"/>
  <c r="AE396" i="6"/>
  <c r="Y396" i="6"/>
  <c r="S396" i="6"/>
  <c r="M396" i="6"/>
  <c r="H396" i="6"/>
  <c r="F396" i="6"/>
  <c r="A396" i="6"/>
  <c r="AJ395" i="6"/>
  <c r="AH395" i="6"/>
  <c r="AE395" i="6"/>
  <c r="Y395" i="6"/>
  <c r="S395" i="6"/>
  <c r="M395" i="6"/>
  <c r="H395" i="6"/>
  <c r="AG395" i="6" s="1"/>
  <c r="F395" i="6"/>
  <c r="A395" i="6"/>
  <c r="AG394" i="6"/>
  <c r="AE394" i="6"/>
  <c r="Y394" i="6"/>
  <c r="S394" i="6"/>
  <c r="AJ394" i="6" s="1"/>
  <c r="M394" i="6"/>
  <c r="H394" i="6"/>
  <c r="A394" i="6"/>
  <c r="AJ393" i="6"/>
  <c r="AH393" i="6"/>
  <c r="AE393" i="6"/>
  <c r="Y393" i="6"/>
  <c r="S393" i="6"/>
  <c r="M393" i="6"/>
  <c r="H393" i="6"/>
  <c r="AG393" i="6" s="1"/>
  <c r="AK393" i="6" s="1"/>
  <c r="F393" i="6"/>
  <c r="A393" i="6"/>
  <c r="L392" i="6"/>
  <c r="K392" i="6"/>
  <c r="J392" i="6"/>
  <c r="E392" i="6"/>
  <c r="D392" i="6"/>
  <c r="AG391" i="6"/>
  <c r="AE391" i="6"/>
  <c r="AE392" i="6" s="1"/>
  <c r="Y391" i="6"/>
  <c r="S391" i="6"/>
  <c r="AJ391" i="6" s="1"/>
  <c r="M391" i="6"/>
  <c r="H391" i="6"/>
  <c r="A391" i="6"/>
  <c r="AJ390" i="6"/>
  <c r="AH390" i="6"/>
  <c r="AE390" i="6"/>
  <c r="Y390" i="6"/>
  <c r="S390" i="6"/>
  <c r="M390" i="6"/>
  <c r="H390" i="6"/>
  <c r="AG390" i="6" s="1"/>
  <c r="AK390" i="6" s="1"/>
  <c r="F390" i="6"/>
  <c r="A390" i="6"/>
  <c r="AE389" i="6"/>
  <c r="Y389" i="6"/>
  <c r="S389" i="6"/>
  <c r="AJ389" i="6" s="1"/>
  <c r="M389" i="6"/>
  <c r="AH389" i="6" s="1"/>
  <c r="H389" i="6"/>
  <c r="AG389" i="6" s="1"/>
  <c r="AK389" i="6" s="1"/>
  <c r="F389" i="6"/>
  <c r="A389" i="6"/>
  <c r="AH388" i="6"/>
  <c r="AG388" i="6"/>
  <c r="AE388" i="6"/>
  <c r="Y388" i="6"/>
  <c r="Y392" i="6" s="1"/>
  <c r="S388" i="6"/>
  <c r="M388" i="6"/>
  <c r="H388" i="6"/>
  <c r="A388" i="6"/>
  <c r="AJ387" i="6"/>
  <c r="AH387" i="6"/>
  <c r="AG387" i="6"/>
  <c r="AK387" i="6" s="1"/>
  <c r="AE387" i="6"/>
  <c r="Y387" i="6"/>
  <c r="S387" i="6"/>
  <c r="S392" i="6" s="1"/>
  <c r="M387" i="6"/>
  <c r="H387" i="6"/>
  <c r="A387" i="6"/>
  <c r="L386" i="6"/>
  <c r="K386" i="6"/>
  <c r="J386" i="6"/>
  <c r="E386" i="6"/>
  <c r="D386" i="6"/>
  <c r="AJ385" i="6"/>
  <c r="AH385" i="6"/>
  <c r="AE385" i="6"/>
  <c r="Y385" i="6"/>
  <c r="S385" i="6"/>
  <c r="M385" i="6"/>
  <c r="F385" i="6" s="1"/>
  <c r="H385" i="6"/>
  <c r="AG385" i="6" s="1"/>
  <c r="AK385" i="6" s="1"/>
  <c r="A385" i="6"/>
  <c r="AE384" i="6"/>
  <c r="Y384" i="6"/>
  <c r="S384" i="6"/>
  <c r="M384" i="6"/>
  <c r="H384" i="6"/>
  <c r="AG384" i="6" s="1"/>
  <c r="A384" i="6"/>
  <c r="AJ383" i="6"/>
  <c r="AH383" i="6"/>
  <c r="AG383" i="6"/>
  <c r="AE383" i="6"/>
  <c r="Y383" i="6"/>
  <c r="S383" i="6"/>
  <c r="M383" i="6"/>
  <c r="H383" i="6"/>
  <c r="F383" i="6"/>
  <c r="A383" i="6"/>
  <c r="AH382" i="6"/>
  <c r="AE382" i="6"/>
  <c r="Y382" i="6"/>
  <c r="S382" i="6"/>
  <c r="AJ382" i="6" s="1"/>
  <c r="M382" i="6"/>
  <c r="H382" i="6"/>
  <c r="AG382" i="6" s="1"/>
  <c r="F382" i="6"/>
  <c r="A382" i="6"/>
  <c r="AG381" i="6"/>
  <c r="AE381" i="6"/>
  <c r="Y381" i="6"/>
  <c r="S381" i="6"/>
  <c r="AJ381" i="6" s="1"/>
  <c r="M381" i="6"/>
  <c r="H381" i="6"/>
  <c r="A381" i="6"/>
  <c r="AJ380" i="6"/>
  <c r="AH380" i="6"/>
  <c r="AG380" i="6"/>
  <c r="AE380" i="6"/>
  <c r="Y380" i="6"/>
  <c r="S380" i="6"/>
  <c r="M380" i="6"/>
  <c r="H380" i="6"/>
  <c r="F380" i="6"/>
  <c r="A380" i="6"/>
  <c r="AE379" i="6"/>
  <c r="Y379" i="6"/>
  <c r="Y386" i="6" s="1"/>
  <c r="S379" i="6"/>
  <c r="F379" i="6" s="1"/>
  <c r="M379" i="6"/>
  <c r="AH379" i="6" s="1"/>
  <c r="H379" i="6"/>
  <c r="AG379" i="6" s="1"/>
  <c r="A379" i="6"/>
  <c r="AH378" i="6"/>
  <c r="AG378" i="6"/>
  <c r="AE378" i="6"/>
  <c r="Y378" i="6"/>
  <c r="S378" i="6"/>
  <c r="M378" i="6"/>
  <c r="H378" i="6"/>
  <c r="F378" i="6"/>
  <c r="A378" i="6"/>
  <c r="AJ377" i="6"/>
  <c r="AH377" i="6"/>
  <c r="AE377" i="6"/>
  <c r="Y377" i="6"/>
  <c r="S377" i="6"/>
  <c r="M377" i="6"/>
  <c r="H377" i="6"/>
  <c r="AG377" i="6" s="1"/>
  <c r="AK377" i="6" s="1"/>
  <c r="A377" i="6"/>
  <c r="AE376" i="6"/>
  <c r="Y376" i="6"/>
  <c r="S376" i="6"/>
  <c r="M376" i="6"/>
  <c r="H376" i="6"/>
  <c r="AG376" i="6" s="1"/>
  <c r="A376" i="6"/>
  <c r="X375" i="6"/>
  <c r="W375" i="6"/>
  <c r="V375" i="6"/>
  <c r="R375" i="6"/>
  <c r="Q375" i="6"/>
  <c r="P375" i="6"/>
  <c r="O375" i="6"/>
  <c r="N375" i="6"/>
  <c r="L375" i="6"/>
  <c r="K375" i="6"/>
  <c r="J375" i="6"/>
  <c r="I375" i="6"/>
  <c r="G375" i="6"/>
  <c r="E375" i="6"/>
  <c r="D375" i="6"/>
  <c r="AJ374" i="6"/>
  <c r="AE374" i="6"/>
  <c r="Y374" i="6"/>
  <c r="S374" i="6"/>
  <c r="M374" i="6"/>
  <c r="AH374" i="6" s="1"/>
  <c r="H374" i="6"/>
  <c r="AG374" i="6" s="1"/>
  <c r="AK374" i="6" s="1"/>
  <c r="F374" i="6"/>
  <c r="A374" i="6"/>
  <c r="AH373" i="6"/>
  <c r="AG373" i="6"/>
  <c r="AE373" i="6"/>
  <c r="Y373" i="6"/>
  <c r="F373" i="6" s="1"/>
  <c r="S373" i="6"/>
  <c r="AJ373" i="6" s="1"/>
  <c r="M373" i="6"/>
  <c r="H373" i="6"/>
  <c r="A373" i="6"/>
  <c r="AJ372" i="6"/>
  <c r="AE372" i="6"/>
  <c r="Y372" i="6"/>
  <c r="S372" i="6"/>
  <c r="M372" i="6"/>
  <c r="F372" i="6" s="1"/>
  <c r="H372" i="6"/>
  <c r="AG372" i="6" s="1"/>
  <c r="A372" i="6"/>
  <c r="AE371" i="6"/>
  <c r="Y371" i="6"/>
  <c r="S371" i="6"/>
  <c r="AJ371" i="6" s="1"/>
  <c r="M371" i="6"/>
  <c r="H371" i="6"/>
  <c r="AG371" i="6" s="1"/>
  <c r="A371" i="6"/>
  <c r="AH370" i="6"/>
  <c r="AG370" i="6"/>
  <c r="AE370" i="6"/>
  <c r="Y370" i="6"/>
  <c r="AJ370" i="6" s="1"/>
  <c r="S370" i="6"/>
  <c r="M370" i="6"/>
  <c r="H370" i="6"/>
  <c r="F370" i="6"/>
  <c r="A370" i="6"/>
  <c r="AJ369" i="6"/>
  <c r="AE369" i="6"/>
  <c r="Y369" i="6"/>
  <c r="S369" i="6"/>
  <c r="M369" i="6"/>
  <c r="H369" i="6"/>
  <c r="AG369" i="6" s="1"/>
  <c r="A369" i="6"/>
  <c r="AG368" i="6"/>
  <c r="AE368" i="6"/>
  <c r="Y368" i="6"/>
  <c r="S368" i="6"/>
  <c r="AJ368" i="6" s="1"/>
  <c r="M368" i="6"/>
  <c r="H368" i="6"/>
  <c r="A368" i="6"/>
  <c r="AJ367" i="6"/>
  <c r="AH367" i="6"/>
  <c r="AG367" i="6"/>
  <c r="AK367" i="6" s="1"/>
  <c r="AE367" i="6"/>
  <c r="Y367" i="6"/>
  <c r="S367" i="6"/>
  <c r="M367" i="6"/>
  <c r="H367" i="6"/>
  <c r="F367" i="6"/>
  <c r="A367" i="6"/>
  <c r="AK366" i="6"/>
  <c r="AJ366" i="6"/>
  <c r="AE366" i="6"/>
  <c r="Y366" i="6"/>
  <c r="S366" i="6"/>
  <c r="M366" i="6"/>
  <c r="AH366" i="6" s="1"/>
  <c r="H366" i="6"/>
  <c r="AG366" i="6" s="1"/>
  <c r="F366" i="6"/>
  <c r="A366" i="6"/>
  <c r="AH365" i="6"/>
  <c r="AG365" i="6"/>
  <c r="AK365" i="6" s="1"/>
  <c r="AE365" i="6"/>
  <c r="Y365" i="6"/>
  <c r="F365" i="6" s="1"/>
  <c r="S365" i="6"/>
  <c r="AJ365" i="6" s="1"/>
  <c r="M365" i="6"/>
  <c r="H365" i="6"/>
  <c r="A365" i="6"/>
  <c r="AJ364" i="6"/>
  <c r="AE364" i="6"/>
  <c r="Y364" i="6"/>
  <c r="S364" i="6"/>
  <c r="M364" i="6"/>
  <c r="AH364" i="6" s="1"/>
  <c r="H364" i="6"/>
  <c r="AG364" i="6" s="1"/>
  <c r="F364" i="6"/>
  <c r="A364" i="6"/>
  <c r="AE363" i="6"/>
  <c r="Y363" i="6"/>
  <c r="S363" i="6"/>
  <c r="AJ363" i="6" s="1"/>
  <c r="M363" i="6"/>
  <c r="H363" i="6"/>
  <c r="AG363" i="6" s="1"/>
  <c r="A363" i="6"/>
  <c r="AH362" i="6"/>
  <c r="AG362" i="6"/>
  <c r="AE362" i="6"/>
  <c r="Y362" i="6"/>
  <c r="S362" i="6"/>
  <c r="M362" i="6"/>
  <c r="H362" i="6"/>
  <c r="A362" i="6"/>
  <c r="X361" i="6"/>
  <c r="W361" i="6"/>
  <c r="V361" i="6"/>
  <c r="R361" i="6"/>
  <c r="Q361" i="6"/>
  <c r="P361" i="6"/>
  <c r="O361" i="6"/>
  <c r="N361" i="6"/>
  <c r="L361" i="6"/>
  <c r="K361" i="6"/>
  <c r="J361" i="6"/>
  <c r="I361" i="6"/>
  <c r="G361" i="6"/>
  <c r="E361" i="6"/>
  <c r="D361" i="6"/>
  <c r="AH360" i="6"/>
  <c r="AG360" i="6"/>
  <c r="AE360" i="6"/>
  <c r="Y360" i="6"/>
  <c r="S360" i="6"/>
  <c r="AJ360" i="6" s="1"/>
  <c r="M360" i="6"/>
  <c r="F360" i="6" s="1"/>
  <c r="H360" i="6"/>
  <c r="A360" i="6"/>
  <c r="AJ359" i="6"/>
  <c r="AH359" i="6"/>
  <c r="AE359" i="6"/>
  <c r="Y359" i="6"/>
  <c r="S359" i="6"/>
  <c r="M359" i="6"/>
  <c r="F359" i="6" s="1"/>
  <c r="H359" i="6"/>
  <c r="AG359" i="6" s="1"/>
  <c r="AK359" i="6" s="1"/>
  <c r="A359" i="6"/>
  <c r="AK358" i="6"/>
  <c r="AE358" i="6"/>
  <c r="Y358" i="6"/>
  <c r="S358" i="6"/>
  <c r="AJ358" i="6" s="1"/>
  <c r="M358" i="6"/>
  <c r="AH358" i="6" s="1"/>
  <c r="H358" i="6"/>
  <c r="AG358" i="6" s="1"/>
  <c r="A358" i="6"/>
  <c r="AJ357" i="6"/>
  <c r="AH357" i="6"/>
  <c r="AG357" i="6"/>
  <c r="AE357" i="6"/>
  <c r="Y357" i="6"/>
  <c r="S357" i="6"/>
  <c r="M357" i="6"/>
  <c r="H357" i="6"/>
  <c r="F357" i="6"/>
  <c r="A357" i="6"/>
  <c r="AH356" i="6"/>
  <c r="AE356" i="6"/>
  <c r="Y356" i="6"/>
  <c r="S356" i="6"/>
  <c r="AJ356" i="6" s="1"/>
  <c r="M356" i="6"/>
  <c r="H356" i="6"/>
  <c r="AG356" i="6" s="1"/>
  <c r="F356" i="6"/>
  <c r="A356" i="6"/>
  <c r="AG355" i="6"/>
  <c r="AE355" i="6"/>
  <c r="Y355" i="6"/>
  <c r="S355" i="6"/>
  <c r="AJ355" i="6" s="1"/>
  <c r="M355" i="6"/>
  <c r="H355" i="6"/>
  <c r="A355" i="6"/>
  <c r="AJ354" i="6"/>
  <c r="AH354" i="6"/>
  <c r="AG354" i="6"/>
  <c r="AE354" i="6"/>
  <c r="Y354" i="6"/>
  <c r="S354" i="6"/>
  <c r="M354" i="6"/>
  <c r="H354" i="6"/>
  <c r="F354" i="6"/>
  <c r="A354" i="6"/>
  <c r="AE353" i="6"/>
  <c r="Y353" i="6"/>
  <c r="S353" i="6"/>
  <c r="AJ353" i="6" s="1"/>
  <c r="M353" i="6"/>
  <c r="AH353" i="6" s="1"/>
  <c r="H353" i="6"/>
  <c r="AG353" i="6" s="1"/>
  <c r="F353" i="6"/>
  <c r="A353" i="6"/>
  <c r="AH352" i="6"/>
  <c r="AG352" i="6"/>
  <c r="AE352" i="6"/>
  <c r="Y352" i="6"/>
  <c r="S352" i="6"/>
  <c r="M352" i="6"/>
  <c r="H352" i="6"/>
  <c r="A352" i="6"/>
  <c r="AJ351" i="6"/>
  <c r="AH351" i="6"/>
  <c r="AG351" i="6"/>
  <c r="AK351" i="6" s="1"/>
  <c r="AE351" i="6"/>
  <c r="Y351" i="6"/>
  <c r="S351" i="6"/>
  <c r="M351" i="6"/>
  <c r="H351" i="6"/>
  <c r="F351" i="6"/>
  <c r="A351" i="6"/>
  <c r="AE350" i="6"/>
  <c r="Y350" i="6"/>
  <c r="Y361" i="6" s="1"/>
  <c r="S350" i="6"/>
  <c r="M350" i="6"/>
  <c r="H350" i="6"/>
  <c r="AG350" i="6" s="1"/>
  <c r="A350" i="6"/>
  <c r="AJ349" i="6"/>
  <c r="AH349" i="6"/>
  <c r="AG349" i="6"/>
  <c r="AE349" i="6"/>
  <c r="Y349" i="6"/>
  <c r="S349" i="6"/>
  <c r="M349" i="6"/>
  <c r="H349" i="6"/>
  <c r="F349" i="6"/>
  <c r="A349" i="6"/>
  <c r="AH348" i="6"/>
  <c r="AE348" i="6"/>
  <c r="Y348" i="6"/>
  <c r="S348" i="6"/>
  <c r="AJ348" i="6" s="1"/>
  <c r="M348" i="6"/>
  <c r="H348" i="6"/>
  <c r="AG348" i="6" s="1"/>
  <c r="F348" i="6"/>
  <c r="A348" i="6"/>
  <c r="AG347" i="6"/>
  <c r="AE347" i="6"/>
  <c r="Y347" i="6"/>
  <c r="S347" i="6"/>
  <c r="M347" i="6"/>
  <c r="H347" i="6"/>
  <c r="A347" i="6"/>
  <c r="Y346" i="6"/>
  <c r="X346" i="6"/>
  <c r="W346" i="6"/>
  <c r="V346" i="6"/>
  <c r="R346" i="6"/>
  <c r="Q346" i="6"/>
  <c r="P346" i="6"/>
  <c r="O346" i="6"/>
  <c r="N346" i="6"/>
  <c r="L346" i="6"/>
  <c r="K346" i="6"/>
  <c r="J346" i="6"/>
  <c r="E346" i="6"/>
  <c r="AJ345" i="6"/>
  <c r="AE345" i="6"/>
  <c r="Y345" i="6"/>
  <c r="S345" i="6"/>
  <c r="M345" i="6"/>
  <c r="H345" i="6"/>
  <c r="AG345" i="6" s="1"/>
  <c r="A345" i="6"/>
  <c r="AE344" i="6"/>
  <c r="Y344" i="6"/>
  <c r="S344" i="6"/>
  <c r="AJ344" i="6" s="1"/>
  <c r="M344" i="6"/>
  <c r="H344" i="6"/>
  <c r="AG344" i="6" s="1"/>
  <c r="A344" i="6"/>
  <c r="AH343" i="6"/>
  <c r="AG343" i="6"/>
  <c r="AE343" i="6"/>
  <c r="Y343" i="6"/>
  <c r="AJ343" i="6" s="1"/>
  <c r="S343" i="6"/>
  <c r="M343" i="6"/>
  <c r="H343" i="6"/>
  <c r="A343" i="6"/>
  <c r="AJ342" i="6"/>
  <c r="AE342" i="6"/>
  <c r="Y342" i="6"/>
  <c r="M342" i="6"/>
  <c r="H342" i="6"/>
  <c r="AG342" i="6" s="1"/>
  <c r="A342" i="6"/>
  <c r="AE341" i="6"/>
  <c r="Y341" i="6"/>
  <c r="S341" i="6"/>
  <c r="AJ341" i="6" s="1"/>
  <c r="M341" i="6"/>
  <c r="H341" i="6"/>
  <c r="AG341" i="6" s="1"/>
  <c r="A341" i="6"/>
  <c r="AH340" i="6"/>
  <c r="AG340" i="6"/>
  <c r="AE340" i="6"/>
  <c r="Y340" i="6"/>
  <c r="AJ340" i="6" s="1"/>
  <c r="S340" i="6"/>
  <c r="M340" i="6"/>
  <c r="H340" i="6"/>
  <c r="A340" i="6"/>
  <c r="AE339" i="6"/>
  <c r="Y339" i="6"/>
  <c r="S339" i="6"/>
  <c r="M339" i="6"/>
  <c r="M346" i="6" s="1"/>
  <c r="H339" i="6"/>
  <c r="AG339" i="6" s="1"/>
  <c r="F339" i="6"/>
  <c r="A339" i="6"/>
  <c r="AG338" i="6"/>
  <c r="AE338" i="6"/>
  <c r="Y338" i="6"/>
  <c r="S338" i="6"/>
  <c r="AJ338" i="6" s="1"/>
  <c r="M338" i="6"/>
  <c r="H338" i="6"/>
  <c r="A338" i="6"/>
  <c r="AJ337" i="6"/>
  <c r="AH337" i="6"/>
  <c r="AG337" i="6"/>
  <c r="AK337" i="6" s="1"/>
  <c r="AE337" i="6"/>
  <c r="Y337" i="6"/>
  <c r="S337" i="6"/>
  <c r="M337" i="6"/>
  <c r="H337" i="6"/>
  <c r="F337" i="6"/>
  <c r="A337" i="6"/>
  <c r="AE336" i="6"/>
  <c r="Y336" i="6"/>
  <c r="S336" i="6"/>
  <c r="F336" i="6" s="1"/>
  <c r="M336" i="6"/>
  <c r="AH336" i="6" s="1"/>
  <c r="H336" i="6"/>
  <c r="AG336" i="6" s="1"/>
  <c r="A336" i="6"/>
  <c r="AH335" i="6"/>
  <c r="AG335" i="6"/>
  <c r="AE335" i="6"/>
  <c r="Y335" i="6"/>
  <c r="S335" i="6"/>
  <c r="M335" i="6"/>
  <c r="H335" i="6"/>
  <c r="A335" i="6"/>
  <c r="AJ334" i="6"/>
  <c r="AG334" i="6"/>
  <c r="AK334" i="6" s="1"/>
  <c r="AE334" i="6"/>
  <c r="Y334" i="6"/>
  <c r="S334" i="6"/>
  <c r="M334" i="6"/>
  <c r="AH334" i="6" s="1"/>
  <c r="H334" i="6"/>
  <c r="F334" i="6"/>
  <c r="A334" i="6"/>
  <c r="AE333" i="6"/>
  <c r="Y333" i="6"/>
  <c r="S333" i="6"/>
  <c r="AJ333" i="6" s="1"/>
  <c r="M333" i="6"/>
  <c r="H333" i="6"/>
  <c r="AG333" i="6" s="1"/>
  <c r="A333" i="6"/>
  <c r="AJ332" i="6"/>
  <c r="AH332" i="6"/>
  <c r="AE332" i="6"/>
  <c r="Y332" i="6"/>
  <c r="X332" i="6"/>
  <c r="S332" i="6"/>
  <c r="F332" i="6" s="1"/>
  <c r="M332" i="6"/>
  <c r="H332" i="6"/>
  <c r="AG332" i="6" s="1"/>
  <c r="A332" i="6"/>
  <c r="W331" i="6"/>
  <c r="V331" i="6"/>
  <c r="R331" i="6"/>
  <c r="Q331" i="6"/>
  <c r="P331" i="6"/>
  <c r="O331" i="6"/>
  <c r="N331" i="6"/>
  <c r="L331" i="6"/>
  <c r="K331" i="6"/>
  <c r="J331" i="6"/>
  <c r="E331" i="6"/>
  <c r="AE330" i="6"/>
  <c r="Y330" i="6"/>
  <c r="S330" i="6"/>
  <c r="M330" i="6"/>
  <c r="H330" i="6"/>
  <c r="AG330" i="6" s="1"/>
  <c r="A330" i="6"/>
  <c r="AJ329" i="6"/>
  <c r="AH329" i="6"/>
  <c r="AG329" i="6"/>
  <c r="AK329" i="6" s="1"/>
  <c r="AE329" i="6"/>
  <c r="Y329" i="6"/>
  <c r="S329" i="6"/>
  <c r="M329" i="6"/>
  <c r="H329" i="6"/>
  <c r="F329" i="6"/>
  <c r="A329" i="6"/>
  <c r="AE328" i="6"/>
  <c r="X328" i="6"/>
  <c r="S328" i="6"/>
  <c r="M328" i="6"/>
  <c r="AH328" i="6" s="1"/>
  <c r="H328" i="6"/>
  <c r="AG328" i="6" s="1"/>
  <c r="A328" i="6"/>
  <c r="AH327" i="6"/>
  <c r="AE327" i="6"/>
  <c r="Y327" i="6"/>
  <c r="S327" i="6"/>
  <c r="AJ327" i="6" s="1"/>
  <c r="M327" i="6"/>
  <c r="F327" i="6" s="1"/>
  <c r="H327" i="6"/>
  <c r="AG327" i="6" s="1"/>
  <c r="A327" i="6"/>
  <c r="AK326" i="6"/>
  <c r="AH326" i="6"/>
  <c r="AE326" i="6"/>
  <c r="Y326" i="6"/>
  <c r="AJ326" i="6" s="1"/>
  <c r="S326" i="6"/>
  <c r="M326" i="6"/>
  <c r="F326" i="6" s="1"/>
  <c r="H326" i="6"/>
  <c r="AG326" i="6" s="1"/>
  <c r="A326" i="6"/>
  <c r="AE325" i="6"/>
  <c r="Y325" i="6"/>
  <c r="S325" i="6"/>
  <c r="M325" i="6"/>
  <c r="H325" i="6"/>
  <c r="AG325" i="6" s="1"/>
  <c r="A325" i="6"/>
  <c r="AJ324" i="6"/>
  <c r="AH324" i="6"/>
  <c r="AG324" i="6"/>
  <c r="AK324" i="6" s="1"/>
  <c r="AE324" i="6"/>
  <c r="Y324" i="6"/>
  <c r="S324" i="6"/>
  <c r="M324" i="6"/>
  <c r="H324" i="6"/>
  <c r="F324" i="6"/>
  <c r="A324" i="6"/>
  <c r="AJ323" i="6"/>
  <c r="AE323" i="6"/>
  <c r="Y323" i="6"/>
  <c r="S323" i="6"/>
  <c r="M323" i="6"/>
  <c r="AH323" i="6" s="1"/>
  <c r="AK323" i="6" s="1"/>
  <c r="H323" i="6"/>
  <c r="AG323" i="6" s="1"/>
  <c r="F323" i="6"/>
  <c r="A323" i="6"/>
  <c r="AG322" i="6"/>
  <c r="AK322" i="6" s="1"/>
  <c r="AE322" i="6"/>
  <c r="Y322" i="6"/>
  <c r="S322" i="6"/>
  <c r="AJ322" i="6" s="1"/>
  <c r="M322" i="6"/>
  <c r="AH322" i="6" s="1"/>
  <c r="H322" i="6"/>
  <c r="F322" i="6"/>
  <c r="A322" i="6"/>
  <c r="AH321" i="6"/>
  <c r="AE321" i="6"/>
  <c r="Y321" i="6"/>
  <c r="S321" i="6"/>
  <c r="M321" i="6"/>
  <c r="H321" i="6"/>
  <c r="AG321" i="6" s="1"/>
  <c r="A321" i="6"/>
  <c r="AG320" i="6"/>
  <c r="AK320" i="6" s="1"/>
  <c r="AE320" i="6"/>
  <c r="Y320" i="6"/>
  <c r="S320" i="6"/>
  <c r="AJ320" i="6" s="1"/>
  <c r="M320" i="6"/>
  <c r="AH320" i="6" s="1"/>
  <c r="H320" i="6"/>
  <c r="F320" i="6"/>
  <c r="A320" i="6"/>
  <c r="AJ319" i="6"/>
  <c r="AE319" i="6"/>
  <c r="Y319" i="6"/>
  <c r="S319" i="6"/>
  <c r="M319" i="6"/>
  <c r="AH319" i="6" s="1"/>
  <c r="H319" i="6"/>
  <c r="AG319" i="6" s="1"/>
  <c r="AK319" i="6" s="1"/>
  <c r="F319" i="6"/>
  <c r="A319" i="6"/>
  <c r="AH318" i="6"/>
  <c r="AE318" i="6"/>
  <c r="Y318" i="6"/>
  <c r="S318" i="6"/>
  <c r="AJ318" i="6" s="1"/>
  <c r="M318" i="6"/>
  <c r="F318" i="6" s="1"/>
  <c r="H318" i="6"/>
  <c r="AG318" i="6" s="1"/>
  <c r="AK318" i="6" s="1"/>
  <c r="A318" i="6"/>
  <c r="AJ317" i="6"/>
  <c r="AH317" i="6"/>
  <c r="AG317" i="6"/>
  <c r="AK317" i="6" s="1"/>
  <c r="AE317" i="6"/>
  <c r="Y317" i="6"/>
  <c r="F317" i="6" s="1"/>
  <c r="S317" i="6"/>
  <c r="M317" i="6"/>
  <c r="H317" i="6"/>
  <c r="A317" i="6"/>
  <c r="AH316" i="6"/>
  <c r="AE316" i="6"/>
  <c r="Y316" i="6"/>
  <c r="S316" i="6"/>
  <c r="AJ316" i="6" s="1"/>
  <c r="M316" i="6"/>
  <c r="F316" i="6" s="1"/>
  <c r="H316" i="6"/>
  <c r="AG316" i="6" s="1"/>
  <c r="A316" i="6"/>
  <c r="AG315" i="6"/>
  <c r="AE315" i="6"/>
  <c r="Y315" i="6"/>
  <c r="AJ315" i="6" s="1"/>
  <c r="S315" i="6"/>
  <c r="M315" i="6"/>
  <c r="H315" i="6"/>
  <c r="A315" i="6"/>
  <c r="AJ314" i="6"/>
  <c r="AH314" i="6"/>
  <c r="AE314" i="6"/>
  <c r="Y314" i="6"/>
  <c r="S314" i="6"/>
  <c r="M314" i="6"/>
  <c r="H314" i="6"/>
  <c r="AG314" i="6" s="1"/>
  <c r="AK314" i="6" s="1"/>
  <c r="F314" i="6"/>
  <c r="A314" i="6"/>
  <c r="AG313" i="6"/>
  <c r="AK313" i="6" s="1"/>
  <c r="AE313" i="6"/>
  <c r="Y313" i="6"/>
  <c r="S313" i="6"/>
  <c r="AJ313" i="6" s="1"/>
  <c r="M313" i="6"/>
  <c r="AH313" i="6" s="1"/>
  <c r="H313" i="6"/>
  <c r="A313" i="6"/>
  <c r="AH312" i="6"/>
  <c r="AG312" i="6"/>
  <c r="AE312" i="6"/>
  <c r="Y312" i="6"/>
  <c r="S312" i="6"/>
  <c r="M312" i="6"/>
  <c r="H312" i="6"/>
  <c r="A312" i="6"/>
  <c r="AK311" i="6"/>
  <c r="AJ311" i="6"/>
  <c r="AG311" i="6"/>
  <c r="AE311" i="6"/>
  <c r="Y311" i="6"/>
  <c r="S311" i="6"/>
  <c r="M311" i="6"/>
  <c r="AH311" i="6" s="1"/>
  <c r="H311" i="6"/>
  <c r="F311" i="6"/>
  <c r="A311" i="6"/>
  <c r="AH310" i="6"/>
  <c r="AE310" i="6"/>
  <c r="Y310" i="6"/>
  <c r="S310" i="6"/>
  <c r="M310" i="6"/>
  <c r="F310" i="6" s="1"/>
  <c r="H310" i="6"/>
  <c r="AG310" i="6" s="1"/>
  <c r="A310" i="6"/>
  <c r="AJ309" i="6"/>
  <c r="AH309" i="6"/>
  <c r="AG309" i="6"/>
  <c r="AE309" i="6"/>
  <c r="Y309" i="6"/>
  <c r="S309" i="6"/>
  <c r="M309" i="6"/>
  <c r="H309" i="6"/>
  <c r="F309" i="6"/>
  <c r="A309" i="6"/>
  <c r="AE308" i="6"/>
  <c r="AB308" i="6"/>
  <c r="L308" i="6"/>
  <c r="K308" i="6"/>
  <c r="J308" i="6"/>
  <c r="E308" i="6"/>
  <c r="AH307" i="6"/>
  <c r="AE307" i="6"/>
  <c r="Y307" i="6"/>
  <c r="S307" i="6"/>
  <c r="AJ307" i="6" s="1"/>
  <c r="AK307" i="6" s="1"/>
  <c r="M307" i="6"/>
  <c r="F307" i="6" s="1"/>
  <c r="H307" i="6"/>
  <c r="AG307" i="6" s="1"/>
  <c r="A307" i="6"/>
  <c r="AH306" i="6"/>
  <c r="AG306" i="6"/>
  <c r="AE306" i="6"/>
  <c r="Y306" i="6"/>
  <c r="S306" i="6"/>
  <c r="M306" i="6"/>
  <c r="H306" i="6"/>
  <c r="A306" i="6"/>
  <c r="AH305" i="6"/>
  <c r="AE305" i="6"/>
  <c r="Y305" i="6"/>
  <c r="S305" i="6"/>
  <c r="AJ305" i="6" s="1"/>
  <c r="AK305" i="6" s="1"/>
  <c r="M305" i="6"/>
  <c r="F305" i="6" s="1"/>
  <c r="H305" i="6"/>
  <c r="AG305" i="6" s="1"/>
  <c r="A305" i="6"/>
  <c r="AH304" i="6"/>
  <c r="AG304" i="6"/>
  <c r="AE304" i="6"/>
  <c r="Y304" i="6"/>
  <c r="X304" i="6"/>
  <c r="S304" i="6"/>
  <c r="M304" i="6"/>
  <c r="H304" i="6"/>
  <c r="A304" i="6"/>
  <c r="AJ303" i="6"/>
  <c r="AE303" i="6"/>
  <c r="Y303" i="6"/>
  <c r="S303" i="6"/>
  <c r="M303" i="6"/>
  <c r="AH303" i="6" s="1"/>
  <c r="H303" i="6"/>
  <c r="AG303" i="6" s="1"/>
  <c r="AK303" i="6" s="1"/>
  <c r="F303" i="6"/>
  <c r="A303" i="6"/>
  <c r="AH302" i="6"/>
  <c r="AE302" i="6"/>
  <c r="Y302" i="6"/>
  <c r="S302" i="6"/>
  <c r="AJ302" i="6" s="1"/>
  <c r="AK302" i="6" s="1"/>
  <c r="M302" i="6"/>
  <c r="H302" i="6"/>
  <c r="AG302" i="6" s="1"/>
  <c r="A302" i="6"/>
  <c r="AH301" i="6"/>
  <c r="AG301" i="6"/>
  <c r="AK301" i="6" s="1"/>
  <c r="AE301" i="6"/>
  <c r="Y301" i="6"/>
  <c r="AJ301" i="6" s="1"/>
  <c r="S301" i="6"/>
  <c r="M301" i="6"/>
  <c r="H301" i="6"/>
  <c r="F301" i="6"/>
  <c r="A301" i="6"/>
  <c r="AE300" i="6"/>
  <c r="Y300" i="6"/>
  <c r="S300" i="6"/>
  <c r="AJ300" i="6" s="1"/>
  <c r="M300" i="6"/>
  <c r="F300" i="6" s="1"/>
  <c r="H300" i="6"/>
  <c r="AG300" i="6" s="1"/>
  <c r="A300" i="6"/>
  <c r="AG299" i="6"/>
  <c r="AE299" i="6"/>
  <c r="Y299" i="6"/>
  <c r="AJ299" i="6" s="1"/>
  <c r="S299" i="6"/>
  <c r="M299" i="6"/>
  <c r="H299" i="6"/>
  <c r="A299" i="6"/>
  <c r="AJ298" i="6"/>
  <c r="AH298" i="6"/>
  <c r="AE298" i="6"/>
  <c r="Y298" i="6"/>
  <c r="S298" i="6"/>
  <c r="S308" i="6" s="1"/>
  <c r="M298" i="6"/>
  <c r="M308" i="6" s="1"/>
  <c r="H298" i="6"/>
  <c r="AG298" i="6" s="1"/>
  <c r="F298" i="6"/>
  <c r="A298" i="6"/>
  <c r="AB297" i="6"/>
  <c r="V297" i="6"/>
  <c r="L297" i="6"/>
  <c r="K297" i="6"/>
  <c r="J297" i="6"/>
  <c r="E297" i="6"/>
  <c r="AG296" i="6"/>
  <c r="AK296" i="6" s="1"/>
  <c r="AE296" i="6"/>
  <c r="Y296" i="6"/>
  <c r="S296" i="6"/>
  <c r="AJ296" i="6" s="1"/>
  <c r="M296" i="6"/>
  <c r="AH296" i="6" s="1"/>
  <c r="H296" i="6"/>
  <c r="F296" i="6"/>
  <c r="A296" i="6"/>
  <c r="AH295" i="6"/>
  <c r="AG295" i="6"/>
  <c r="AE295" i="6"/>
  <c r="Y295" i="6"/>
  <c r="S295" i="6"/>
  <c r="AJ295" i="6" s="1"/>
  <c r="M295" i="6"/>
  <c r="H295" i="6"/>
  <c r="F295" i="6"/>
  <c r="A295" i="6"/>
  <c r="AJ294" i="6"/>
  <c r="AG294" i="6"/>
  <c r="AK294" i="6" s="1"/>
  <c r="AE294" i="6"/>
  <c r="Y294" i="6"/>
  <c r="S294" i="6"/>
  <c r="M294" i="6"/>
  <c r="AH294" i="6" s="1"/>
  <c r="H294" i="6"/>
  <c r="F294" i="6"/>
  <c r="A294" i="6"/>
  <c r="AK293" i="6"/>
  <c r="AH293" i="6"/>
  <c r="AE293" i="6"/>
  <c r="Y293" i="6"/>
  <c r="S293" i="6"/>
  <c r="AJ293" i="6" s="1"/>
  <c r="M293" i="6"/>
  <c r="F293" i="6" s="1"/>
  <c r="H293" i="6"/>
  <c r="AG293" i="6" s="1"/>
  <c r="A293" i="6"/>
  <c r="AJ292" i="6"/>
  <c r="AH292" i="6"/>
  <c r="AG292" i="6"/>
  <c r="AE292" i="6"/>
  <c r="Y292" i="6"/>
  <c r="S292" i="6"/>
  <c r="M292" i="6"/>
  <c r="H292" i="6"/>
  <c r="F292" i="6"/>
  <c r="A292" i="6"/>
  <c r="AE291" i="6"/>
  <c r="Y291" i="6"/>
  <c r="F291" i="6" s="1"/>
  <c r="S291" i="6"/>
  <c r="AJ291" i="6" s="1"/>
  <c r="M291" i="6"/>
  <c r="AH291" i="6" s="1"/>
  <c r="H291" i="6"/>
  <c r="AG291" i="6" s="1"/>
  <c r="AK291" i="6" s="1"/>
  <c r="A291" i="6"/>
  <c r="AG290" i="6"/>
  <c r="AE290" i="6"/>
  <c r="Y290" i="6"/>
  <c r="AJ290" i="6" s="1"/>
  <c r="S290" i="6"/>
  <c r="M290" i="6"/>
  <c r="H290" i="6"/>
  <c r="A290" i="6"/>
  <c r="AJ289" i="6"/>
  <c r="AH289" i="6"/>
  <c r="AE289" i="6"/>
  <c r="Y289" i="6"/>
  <c r="S289" i="6"/>
  <c r="M289" i="6"/>
  <c r="H289" i="6"/>
  <c r="AG289" i="6" s="1"/>
  <c r="F289" i="6"/>
  <c r="A289" i="6"/>
  <c r="AJ288" i="6"/>
  <c r="AG288" i="6"/>
  <c r="AE288" i="6"/>
  <c r="AE297" i="6" s="1"/>
  <c r="Y288" i="6"/>
  <c r="S288" i="6"/>
  <c r="M288" i="6"/>
  <c r="AH288" i="6" s="1"/>
  <c r="H288" i="6"/>
  <c r="F288" i="6"/>
  <c r="A288" i="6"/>
  <c r="AB287" i="6"/>
  <c r="M287" i="6"/>
  <c r="L287" i="6"/>
  <c r="K287" i="6"/>
  <c r="J287" i="6"/>
  <c r="G287" i="6"/>
  <c r="E287" i="6"/>
  <c r="AJ286" i="6"/>
  <c r="AG286" i="6"/>
  <c r="AK286" i="6" s="1"/>
  <c r="AE286" i="6"/>
  <c r="Y286" i="6"/>
  <c r="S286" i="6"/>
  <c r="M286" i="6"/>
  <c r="AH286" i="6" s="1"/>
  <c r="H286" i="6"/>
  <c r="F286" i="6"/>
  <c r="A286" i="6"/>
  <c r="AH285" i="6"/>
  <c r="AE285" i="6"/>
  <c r="Y285" i="6"/>
  <c r="S285" i="6"/>
  <c r="S287" i="6" s="1"/>
  <c r="M285" i="6"/>
  <c r="F285" i="6" s="1"/>
  <c r="H285" i="6"/>
  <c r="AG285" i="6" s="1"/>
  <c r="A285" i="6"/>
  <c r="AH284" i="6"/>
  <c r="AG284" i="6"/>
  <c r="AE284" i="6"/>
  <c r="Y284" i="6"/>
  <c r="AJ284" i="6" s="1"/>
  <c r="S284" i="6"/>
  <c r="M284" i="6"/>
  <c r="H284" i="6"/>
  <c r="F284" i="6"/>
  <c r="A284" i="6"/>
  <c r="AH283" i="6"/>
  <c r="AE283" i="6"/>
  <c r="Y283" i="6"/>
  <c r="S283" i="6"/>
  <c r="AJ283" i="6" s="1"/>
  <c r="M283" i="6"/>
  <c r="H283" i="6"/>
  <c r="AG283" i="6" s="1"/>
  <c r="AK283" i="6" s="1"/>
  <c r="A283" i="6"/>
  <c r="AG282" i="6"/>
  <c r="AE282" i="6"/>
  <c r="Y282" i="6"/>
  <c r="AJ282" i="6" s="1"/>
  <c r="S282" i="6"/>
  <c r="M282" i="6"/>
  <c r="H282" i="6"/>
  <c r="A282" i="6"/>
  <c r="AJ281" i="6"/>
  <c r="AH281" i="6"/>
  <c r="AE281" i="6"/>
  <c r="Y281" i="6"/>
  <c r="S281" i="6"/>
  <c r="M281" i="6"/>
  <c r="H281" i="6"/>
  <c r="AG281" i="6" s="1"/>
  <c r="F281" i="6"/>
  <c r="A281" i="6"/>
  <c r="AG280" i="6"/>
  <c r="AE280" i="6"/>
  <c r="Y280" i="6"/>
  <c r="S280" i="6"/>
  <c r="AJ280" i="6" s="1"/>
  <c r="M280" i="6"/>
  <c r="AH280" i="6" s="1"/>
  <c r="H280" i="6"/>
  <c r="F280" i="6"/>
  <c r="A280" i="6"/>
  <c r="AH279" i="6"/>
  <c r="AG279" i="6"/>
  <c r="AK279" i="6" s="1"/>
  <c r="AE279" i="6"/>
  <c r="AE287" i="6" s="1"/>
  <c r="Y279" i="6"/>
  <c r="S279" i="6"/>
  <c r="AJ279" i="6" s="1"/>
  <c r="M279" i="6"/>
  <c r="H279" i="6"/>
  <c r="F279" i="6"/>
  <c r="A279" i="6"/>
  <c r="AE278" i="6"/>
  <c r="AB278" i="6"/>
  <c r="X278" i="6"/>
  <c r="W278" i="6"/>
  <c r="V278" i="6"/>
  <c r="R278" i="6"/>
  <c r="Q278" i="6"/>
  <c r="P278" i="6"/>
  <c r="O278" i="6"/>
  <c r="N278" i="6"/>
  <c r="L278" i="6"/>
  <c r="K278" i="6"/>
  <c r="J278" i="6"/>
  <c r="G278" i="6"/>
  <c r="E278" i="6"/>
  <c r="AK277" i="6"/>
  <c r="AH277" i="6"/>
  <c r="AE277" i="6"/>
  <c r="Y277" i="6"/>
  <c r="F277" i="6" s="1"/>
  <c r="S277" i="6"/>
  <c r="AJ277" i="6" s="1"/>
  <c r="M277" i="6"/>
  <c r="H277" i="6"/>
  <c r="AG277" i="6" s="1"/>
  <c r="A277" i="6"/>
  <c r="AH276" i="6"/>
  <c r="AG276" i="6"/>
  <c r="AE276" i="6"/>
  <c r="Y276" i="6"/>
  <c r="AJ276" i="6" s="1"/>
  <c r="S276" i="6"/>
  <c r="M276" i="6"/>
  <c r="H276" i="6"/>
  <c r="F276" i="6"/>
  <c r="A276" i="6"/>
  <c r="AH275" i="6"/>
  <c r="AE275" i="6"/>
  <c r="Y275" i="6"/>
  <c r="S275" i="6"/>
  <c r="AJ275" i="6" s="1"/>
  <c r="AK275" i="6" s="1"/>
  <c r="M275" i="6"/>
  <c r="F275" i="6" s="1"/>
  <c r="H275" i="6"/>
  <c r="AG275" i="6" s="1"/>
  <c r="A275" i="6"/>
  <c r="AJ274" i="6"/>
  <c r="AG274" i="6"/>
  <c r="AK274" i="6" s="1"/>
  <c r="AE274" i="6"/>
  <c r="Y274" i="6"/>
  <c r="F274" i="6" s="1"/>
  <c r="S274" i="6"/>
  <c r="M274" i="6"/>
  <c r="AH274" i="6" s="1"/>
  <c r="H274" i="6"/>
  <c r="A274" i="6"/>
  <c r="AJ273" i="6"/>
  <c r="AH273" i="6"/>
  <c r="AE273" i="6"/>
  <c r="Y273" i="6"/>
  <c r="S273" i="6"/>
  <c r="M273" i="6"/>
  <c r="H273" i="6"/>
  <c r="AG273" i="6" s="1"/>
  <c r="F273" i="6"/>
  <c r="A273" i="6"/>
  <c r="AJ272" i="6"/>
  <c r="AG272" i="6"/>
  <c r="AE272" i="6"/>
  <c r="Y272" i="6"/>
  <c r="S272" i="6"/>
  <c r="M272" i="6"/>
  <c r="AH272" i="6" s="1"/>
  <c r="H272" i="6"/>
  <c r="F272" i="6"/>
  <c r="A272" i="6"/>
  <c r="AH271" i="6"/>
  <c r="AG271" i="6"/>
  <c r="AK271" i="6" s="1"/>
  <c r="AE271" i="6"/>
  <c r="Y271" i="6"/>
  <c r="S271" i="6"/>
  <c r="AJ271" i="6" s="1"/>
  <c r="M271" i="6"/>
  <c r="H271" i="6"/>
  <c r="F271" i="6"/>
  <c r="A271" i="6"/>
  <c r="AJ270" i="6"/>
  <c r="AE270" i="6"/>
  <c r="Y270" i="6"/>
  <c r="S270" i="6"/>
  <c r="M270" i="6"/>
  <c r="AH270" i="6" s="1"/>
  <c r="H270" i="6"/>
  <c r="AG270" i="6" s="1"/>
  <c r="AK270" i="6" s="1"/>
  <c r="F270" i="6"/>
  <c r="A270" i="6"/>
  <c r="AH269" i="6"/>
  <c r="AE269" i="6"/>
  <c r="Y269" i="6"/>
  <c r="S269" i="6"/>
  <c r="M269" i="6"/>
  <c r="F269" i="6" s="1"/>
  <c r="H269" i="6"/>
  <c r="AG269" i="6" s="1"/>
  <c r="A269" i="6"/>
  <c r="AH268" i="6"/>
  <c r="AG268" i="6"/>
  <c r="AE268" i="6"/>
  <c r="Y268" i="6"/>
  <c r="S268" i="6"/>
  <c r="M268" i="6"/>
  <c r="H268" i="6"/>
  <c r="A268" i="6"/>
  <c r="AH267" i="6"/>
  <c r="AE267" i="6"/>
  <c r="Y267" i="6"/>
  <c r="S267" i="6"/>
  <c r="AJ267" i="6" s="1"/>
  <c r="M267" i="6"/>
  <c r="F267" i="6" s="1"/>
  <c r="H267" i="6"/>
  <c r="AG267" i="6" s="1"/>
  <c r="AK267" i="6" s="1"/>
  <c r="A267" i="6"/>
  <c r="AG266" i="6"/>
  <c r="AE266" i="6"/>
  <c r="Y266" i="6"/>
  <c r="S266" i="6"/>
  <c r="M266" i="6"/>
  <c r="AH266" i="6" s="1"/>
  <c r="H266" i="6"/>
  <c r="A266" i="6"/>
  <c r="AJ265" i="6"/>
  <c r="AH265" i="6"/>
  <c r="AE265" i="6"/>
  <c r="Y265" i="6"/>
  <c r="S265" i="6"/>
  <c r="M265" i="6"/>
  <c r="H265" i="6"/>
  <c r="AG265" i="6" s="1"/>
  <c r="F265" i="6"/>
  <c r="A265" i="6"/>
  <c r="AG264" i="6"/>
  <c r="AE264" i="6"/>
  <c r="Y264" i="6"/>
  <c r="S264" i="6"/>
  <c r="AJ264" i="6" s="1"/>
  <c r="M264" i="6"/>
  <c r="AH264" i="6" s="1"/>
  <c r="H264" i="6"/>
  <c r="F264" i="6"/>
  <c r="A264" i="6"/>
  <c r="AH263" i="6"/>
  <c r="AG263" i="6"/>
  <c r="AK263" i="6" s="1"/>
  <c r="AE263" i="6"/>
  <c r="Y263" i="6"/>
  <c r="S263" i="6"/>
  <c r="AJ263" i="6" s="1"/>
  <c r="M263" i="6"/>
  <c r="H263" i="6"/>
  <c r="F263" i="6"/>
  <c r="A263" i="6"/>
  <c r="AJ262" i="6"/>
  <c r="AE262" i="6"/>
  <c r="Y262" i="6"/>
  <c r="S262" i="6"/>
  <c r="M262" i="6"/>
  <c r="AH262" i="6" s="1"/>
  <c r="H262" i="6"/>
  <c r="AG262" i="6" s="1"/>
  <c r="AK262" i="6" s="1"/>
  <c r="F262" i="6"/>
  <c r="A262" i="6"/>
  <c r="AH261" i="6"/>
  <c r="AE261" i="6"/>
  <c r="Y261" i="6"/>
  <c r="S261" i="6"/>
  <c r="AJ261" i="6" s="1"/>
  <c r="M261" i="6"/>
  <c r="H261" i="6"/>
  <c r="AG261" i="6" s="1"/>
  <c r="AK261" i="6" s="1"/>
  <c r="F261" i="6"/>
  <c r="A261" i="6"/>
  <c r="AH260" i="6"/>
  <c r="AG260" i="6"/>
  <c r="AE260" i="6"/>
  <c r="Y260" i="6"/>
  <c r="S260" i="6"/>
  <c r="M260" i="6"/>
  <c r="H260" i="6"/>
  <c r="A260" i="6"/>
  <c r="AE259" i="6"/>
  <c r="Y259" i="6"/>
  <c r="S259" i="6"/>
  <c r="AJ259" i="6" s="1"/>
  <c r="M259" i="6"/>
  <c r="H259" i="6"/>
  <c r="AG259" i="6" s="1"/>
  <c r="A259" i="6"/>
  <c r="AJ258" i="6"/>
  <c r="AG258" i="6"/>
  <c r="AE258" i="6"/>
  <c r="Y258" i="6"/>
  <c r="S258" i="6"/>
  <c r="M258" i="6"/>
  <c r="H258" i="6"/>
  <c r="A258" i="6"/>
  <c r="AJ257" i="6"/>
  <c r="AH257" i="6"/>
  <c r="AE257" i="6"/>
  <c r="Y257" i="6"/>
  <c r="S257" i="6"/>
  <c r="M257" i="6"/>
  <c r="H257" i="6"/>
  <c r="AG257" i="6" s="1"/>
  <c r="AK257" i="6" s="1"/>
  <c r="F257" i="6"/>
  <c r="A257" i="6"/>
  <c r="AG256" i="6"/>
  <c r="AE256" i="6"/>
  <c r="Y256" i="6"/>
  <c r="S256" i="6"/>
  <c r="AJ256" i="6" s="1"/>
  <c r="M256" i="6"/>
  <c r="AH256" i="6" s="1"/>
  <c r="H256" i="6"/>
  <c r="A256" i="6"/>
  <c r="AH255" i="6"/>
  <c r="AG255" i="6"/>
  <c r="AE255" i="6"/>
  <c r="Y255" i="6"/>
  <c r="S255" i="6"/>
  <c r="AJ255" i="6" s="1"/>
  <c r="M255" i="6"/>
  <c r="H255" i="6"/>
  <c r="F255" i="6"/>
  <c r="A255" i="6"/>
  <c r="AJ254" i="6"/>
  <c r="AE254" i="6"/>
  <c r="Y254" i="6"/>
  <c r="S254" i="6"/>
  <c r="M254" i="6"/>
  <c r="AH254" i="6" s="1"/>
  <c r="H254" i="6"/>
  <c r="AG254" i="6" s="1"/>
  <c r="AK254" i="6" s="1"/>
  <c r="F254" i="6"/>
  <c r="A254" i="6"/>
  <c r="AH253" i="6"/>
  <c r="AE253" i="6"/>
  <c r="Y253" i="6"/>
  <c r="S253" i="6"/>
  <c r="M253" i="6"/>
  <c r="H253" i="6"/>
  <c r="AG253" i="6" s="1"/>
  <c r="A253" i="6"/>
  <c r="AH252" i="6"/>
  <c r="AG252" i="6"/>
  <c r="AE252" i="6"/>
  <c r="Y252" i="6"/>
  <c r="AJ252" i="6" s="1"/>
  <c r="S252" i="6"/>
  <c r="M252" i="6"/>
  <c r="H252" i="6"/>
  <c r="F252" i="6"/>
  <c r="A252" i="6"/>
  <c r="AH251" i="6"/>
  <c r="AE251" i="6"/>
  <c r="Y251" i="6"/>
  <c r="S251" i="6"/>
  <c r="AJ251" i="6" s="1"/>
  <c r="AK251" i="6" s="1"/>
  <c r="M251" i="6"/>
  <c r="F251" i="6" s="1"/>
  <c r="H251" i="6"/>
  <c r="AG251" i="6" s="1"/>
  <c r="A251" i="6"/>
  <c r="AG250" i="6"/>
  <c r="AE250" i="6"/>
  <c r="Y250" i="6"/>
  <c r="AJ250" i="6" s="1"/>
  <c r="S250" i="6"/>
  <c r="M250" i="6"/>
  <c r="H250" i="6"/>
  <c r="A250" i="6"/>
  <c r="AJ249" i="6"/>
  <c r="AH249" i="6"/>
  <c r="AE249" i="6"/>
  <c r="Y249" i="6"/>
  <c r="S249" i="6"/>
  <c r="M249" i="6"/>
  <c r="H249" i="6"/>
  <c r="AG249" i="6" s="1"/>
  <c r="F249" i="6"/>
  <c r="A249" i="6"/>
  <c r="AG248" i="6"/>
  <c r="AE248" i="6"/>
  <c r="Y248" i="6"/>
  <c r="S248" i="6"/>
  <c r="AJ248" i="6" s="1"/>
  <c r="M248" i="6"/>
  <c r="AH248" i="6" s="1"/>
  <c r="H248" i="6"/>
  <c r="F248" i="6"/>
  <c r="A248" i="6"/>
  <c r="AH247" i="6"/>
  <c r="AG247" i="6"/>
  <c r="AK247" i="6" s="1"/>
  <c r="AE247" i="6"/>
  <c r="Y247" i="6"/>
  <c r="S247" i="6"/>
  <c r="AJ247" i="6" s="1"/>
  <c r="M247" i="6"/>
  <c r="H247" i="6"/>
  <c r="F247" i="6"/>
  <c r="A247" i="6"/>
  <c r="AJ246" i="6"/>
  <c r="AG246" i="6"/>
  <c r="AK246" i="6" s="1"/>
  <c r="AE246" i="6"/>
  <c r="X246" i="6"/>
  <c r="Y246" i="6" s="1"/>
  <c r="F246" i="6" s="1"/>
  <c r="S246" i="6"/>
  <c r="M246" i="6"/>
  <c r="AH246" i="6" s="1"/>
  <c r="H246" i="6"/>
  <c r="A246" i="6"/>
  <c r="AJ245" i="6"/>
  <c r="AG245" i="6"/>
  <c r="AK245" i="6" s="1"/>
  <c r="AE245" i="6"/>
  <c r="Y245" i="6"/>
  <c r="S245" i="6"/>
  <c r="M245" i="6"/>
  <c r="AH245" i="6" s="1"/>
  <c r="H245" i="6"/>
  <c r="F245" i="6"/>
  <c r="A245" i="6"/>
  <c r="AJ244" i="6"/>
  <c r="AH244" i="6"/>
  <c r="AE244" i="6"/>
  <c r="Y244" i="6"/>
  <c r="S244" i="6"/>
  <c r="M244" i="6"/>
  <c r="H244" i="6"/>
  <c r="AG244" i="6" s="1"/>
  <c r="F244" i="6"/>
  <c r="A244" i="6"/>
  <c r="AG243" i="6"/>
  <c r="AE243" i="6"/>
  <c r="Y243" i="6"/>
  <c r="S243" i="6"/>
  <c r="AJ243" i="6" s="1"/>
  <c r="M243" i="6"/>
  <c r="AH243" i="6" s="1"/>
  <c r="H243" i="6"/>
  <c r="F243" i="6"/>
  <c r="A243" i="6"/>
  <c r="AH242" i="6"/>
  <c r="AG242" i="6"/>
  <c r="AK242" i="6" s="1"/>
  <c r="AE242" i="6"/>
  <c r="Y242" i="6"/>
  <c r="S242" i="6"/>
  <c r="AJ242" i="6" s="1"/>
  <c r="M242" i="6"/>
  <c r="H242" i="6"/>
  <c r="F242" i="6"/>
  <c r="A242" i="6"/>
  <c r="AJ241" i="6"/>
  <c r="AE241" i="6"/>
  <c r="Y241" i="6"/>
  <c r="S241" i="6"/>
  <c r="M241" i="6"/>
  <c r="AH241" i="6" s="1"/>
  <c r="H241" i="6"/>
  <c r="AG241" i="6" s="1"/>
  <c r="AK241" i="6" s="1"/>
  <c r="F241" i="6"/>
  <c r="A241" i="6"/>
  <c r="AH240" i="6"/>
  <c r="AE240" i="6"/>
  <c r="Y240" i="6"/>
  <c r="S240" i="6"/>
  <c r="M240" i="6"/>
  <c r="H240" i="6"/>
  <c r="AG240" i="6" s="1"/>
  <c r="A240" i="6"/>
  <c r="AB239" i="6"/>
  <c r="L239" i="6"/>
  <c r="K239" i="6"/>
  <c r="J239" i="6"/>
  <c r="E239" i="6"/>
  <c r="AJ238" i="6"/>
  <c r="AE238" i="6"/>
  <c r="Y238" i="6"/>
  <c r="S238" i="6"/>
  <c r="M238" i="6"/>
  <c r="AH238" i="6" s="1"/>
  <c r="H238" i="6"/>
  <c r="AG238" i="6" s="1"/>
  <c r="AK238" i="6" s="1"/>
  <c r="F238" i="6"/>
  <c r="A238" i="6"/>
  <c r="AH237" i="6"/>
  <c r="AE237" i="6"/>
  <c r="Y237" i="6"/>
  <c r="S237" i="6"/>
  <c r="AJ237" i="6" s="1"/>
  <c r="M237" i="6"/>
  <c r="F237" i="6" s="1"/>
  <c r="H237" i="6"/>
  <c r="AG237" i="6" s="1"/>
  <c r="AK237" i="6" s="1"/>
  <c r="A237" i="6"/>
  <c r="AH236" i="6"/>
  <c r="AG236" i="6"/>
  <c r="AE236" i="6"/>
  <c r="Y236" i="6"/>
  <c r="S236" i="6"/>
  <c r="M236" i="6"/>
  <c r="H236" i="6"/>
  <c r="A236" i="6"/>
  <c r="AE235" i="6"/>
  <c r="Y235" i="6"/>
  <c r="S235" i="6"/>
  <c r="AJ235" i="6" s="1"/>
  <c r="M235" i="6"/>
  <c r="H235" i="6"/>
  <c r="AG235" i="6" s="1"/>
  <c r="A235" i="6"/>
  <c r="AG234" i="6"/>
  <c r="AE234" i="6"/>
  <c r="AE239" i="6" s="1"/>
  <c r="Y234" i="6"/>
  <c r="S234" i="6"/>
  <c r="M234" i="6"/>
  <c r="H234" i="6"/>
  <c r="A234" i="6"/>
  <c r="AB233" i="6"/>
  <c r="X233" i="6"/>
  <c r="W233" i="6"/>
  <c r="V233" i="6"/>
  <c r="R233" i="6"/>
  <c r="Q233" i="6"/>
  <c r="P233" i="6"/>
  <c r="O233" i="6"/>
  <c r="N233" i="6"/>
  <c r="L233" i="6"/>
  <c r="K233" i="6"/>
  <c r="J233" i="6"/>
  <c r="E233" i="6"/>
  <c r="AH232" i="6"/>
  <c r="AE232" i="6"/>
  <c r="Y232" i="6"/>
  <c r="F232" i="6" s="1"/>
  <c r="S232" i="6"/>
  <c r="AJ232" i="6" s="1"/>
  <c r="AK232" i="6" s="1"/>
  <c r="M232" i="6"/>
  <c r="H232" i="6"/>
  <c r="AG232" i="6" s="1"/>
  <c r="A232" i="6"/>
  <c r="AG231" i="6"/>
  <c r="AE231" i="6"/>
  <c r="Y231" i="6"/>
  <c r="AJ231" i="6" s="1"/>
  <c r="S231" i="6"/>
  <c r="M231" i="6"/>
  <c r="H231" i="6"/>
  <c r="A231" i="6"/>
  <c r="AJ230" i="6"/>
  <c r="AH230" i="6"/>
  <c r="AE230" i="6"/>
  <c r="Y230" i="6"/>
  <c r="S230" i="6"/>
  <c r="M230" i="6"/>
  <c r="H230" i="6"/>
  <c r="AG230" i="6" s="1"/>
  <c r="F230" i="6"/>
  <c r="A230" i="6"/>
  <c r="AJ229" i="6"/>
  <c r="AE229" i="6"/>
  <c r="S229" i="6"/>
  <c r="M229" i="6"/>
  <c r="AH229" i="6" s="1"/>
  <c r="H229" i="6"/>
  <c r="AG229" i="6" s="1"/>
  <c r="AK229" i="6" s="1"/>
  <c r="F229" i="6"/>
  <c r="A229" i="6"/>
  <c r="AG228" i="6"/>
  <c r="AE228" i="6"/>
  <c r="Y228" i="6"/>
  <c r="AJ228" i="6" s="1"/>
  <c r="S228" i="6"/>
  <c r="M228" i="6"/>
  <c r="H228" i="6"/>
  <c r="A228" i="6"/>
  <c r="AJ227" i="6"/>
  <c r="AH227" i="6"/>
  <c r="AE227" i="6"/>
  <c r="Y227" i="6"/>
  <c r="S227" i="6"/>
  <c r="M227" i="6"/>
  <c r="H227" i="6"/>
  <c r="AG227" i="6" s="1"/>
  <c r="AK227" i="6" s="1"/>
  <c r="F227" i="6"/>
  <c r="A227" i="6"/>
  <c r="AJ226" i="6"/>
  <c r="AG226" i="6"/>
  <c r="AE226" i="6"/>
  <c r="Y226" i="6"/>
  <c r="S226" i="6"/>
  <c r="M226" i="6"/>
  <c r="AH226" i="6" s="1"/>
  <c r="H226" i="6"/>
  <c r="F226" i="6"/>
  <c r="A226" i="6"/>
  <c r="AH225" i="6"/>
  <c r="AG225" i="6"/>
  <c r="AE225" i="6"/>
  <c r="Y225" i="6"/>
  <c r="S225" i="6"/>
  <c r="AJ225" i="6" s="1"/>
  <c r="M225" i="6"/>
  <c r="H225" i="6"/>
  <c r="F225" i="6"/>
  <c r="A225" i="6"/>
  <c r="AJ224" i="6"/>
  <c r="AE224" i="6"/>
  <c r="Y224" i="6"/>
  <c r="S224" i="6"/>
  <c r="M224" i="6"/>
  <c r="H224" i="6"/>
  <c r="AG224" i="6" s="1"/>
  <c r="A224" i="6"/>
  <c r="AH223" i="6"/>
  <c r="AE223" i="6"/>
  <c r="Y223" i="6"/>
  <c r="S223" i="6"/>
  <c r="AJ223" i="6" s="1"/>
  <c r="AK223" i="6" s="1"/>
  <c r="M223" i="6"/>
  <c r="H223" i="6"/>
  <c r="AG223" i="6" s="1"/>
  <c r="F223" i="6"/>
  <c r="A223" i="6"/>
  <c r="AJ222" i="6"/>
  <c r="AH222" i="6"/>
  <c r="AG222" i="6"/>
  <c r="AE222" i="6"/>
  <c r="Y222" i="6"/>
  <c r="S222" i="6"/>
  <c r="M222" i="6"/>
  <c r="H222" i="6"/>
  <c r="F222" i="6"/>
  <c r="A222" i="6"/>
  <c r="AH221" i="6"/>
  <c r="AE221" i="6"/>
  <c r="Y221" i="6"/>
  <c r="S221" i="6"/>
  <c r="AJ221" i="6" s="1"/>
  <c r="M221" i="6"/>
  <c r="F221" i="6" s="1"/>
  <c r="H221" i="6"/>
  <c r="AG221" i="6" s="1"/>
  <c r="A221" i="6"/>
  <c r="AG220" i="6"/>
  <c r="AE220" i="6"/>
  <c r="Y220" i="6"/>
  <c r="AJ220" i="6" s="1"/>
  <c r="S220" i="6"/>
  <c r="M220" i="6"/>
  <c r="H220" i="6"/>
  <c r="A220" i="6"/>
  <c r="AJ219" i="6"/>
  <c r="AH219" i="6"/>
  <c r="AE219" i="6"/>
  <c r="Y219" i="6"/>
  <c r="S219" i="6"/>
  <c r="M219" i="6"/>
  <c r="H219" i="6"/>
  <c r="AG219" i="6" s="1"/>
  <c r="F219" i="6"/>
  <c r="A219" i="6"/>
  <c r="AJ218" i="6"/>
  <c r="AG218" i="6"/>
  <c r="AE218" i="6"/>
  <c r="Y218" i="6"/>
  <c r="S218" i="6"/>
  <c r="M218" i="6"/>
  <c r="H218" i="6"/>
  <c r="A218" i="6"/>
  <c r="AH217" i="6"/>
  <c r="AG217" i="6"/>
  <c r="AE217" i="6"/>
  <c r="Y217" i="6"/>
  <c r="S217" i="6"/>
  <c r="AJ217" i="6" s="1"/>
  <c r="M217" i="6"/>
  <c r="H217" i="6"/>
  <c r="F217" i="6"/>
  <c r="A217" i="6"/>
  <c r="AJ216" i="6"/>
  <c r="AE216" i="6"/>
  <c r="Y216" i="6"/>
  <c r="S216" i="6"/>
  <c r="M216" i="6"/>
  <c r="H216" i="6"/>
  <c r="AG216" i="6" s="1"/>
  <c r="A216" i="6"/>
  <c r="AH215" i="6"/>
  <c r="AE215" i="6"/>
  <c r="Y215" i="6"/>
  <c r="S215" i="6"/>
  <c r="AJ215" i="6" s="1"/>
  <c r="AK215" i="6" s="1"/>
  <c r="M215" i="6"/>
  <c r="F215" i="6" s="1"/>
  <c r="H215" i="6"/>
  <c r="AG215" i="6" s="1"/>
  <c r="A215" i="6"/>
  <c r="AH214" i="6"/>
  <c r="AG214" i="6"/>
  <c r="AE214" i="6"/>
  <c r="Y214" i="6"/>
  <c r="AJ214" i="6" s="1"/>
  <c r="S214" i="6"/>
  <c r="M214" i="6"/>
  <c r="H214" i="6"/>
  <c r="F214" i="6"/>
  <c r="A214" i="6"/>
  <c r="AH213" i="6"/>
  <c r="AE213" i="6"/>
  <c r="Y213" i="6"/>
  <c r="S213" i="6"/>
  <c r="AJ213" i="6" s="1"/>
  <c r="M213" i="6"/>
  <c r="F213" i="6" s="1"/>
  <c r="H213" i="6"/>
  <c r="AG213" i="6" s="1"/>
  <c r="AK213" i="6" s="1"/>
  <c r="A213" i="6"/>
  <c r="AG212" i="6"/>
  <c r="AE212" i="6"/>
  <c r="Y212" i="6"/>
  <c r="AJ212" i="6" s="1"/>
  <c r="S212" i="6"/>
  <c r="M212" i="6"/>
  <c r="H212" i="6"/>
  <c r="A212" i="6"/>
  <c r="AK211" i="6"/>
  <c r="AJ211" i="6"/>
  <c r="AH211" i="6"/>
  <c r="AE211" i="6"/>
  <c r="Y211" i="6"/>
  <c r="S211" i="6"/>
  <c r="M211" i="6"/>
  <c r="H211" i="6"/>
  <c r="AG211" i="6" s="1"/>
  <c r="F211" i="6"/>
  <c r="A211" i="6"/>
  <c r="AJ210" i="6"/>
  <c r="AG210" i="6"/>
  <c r="AK210" i="6" s="1"/>
  <c r="AE210" i="6"/>
  <c r="Y210" i="6"/>
  <c r="S210" i="6"/>
  <c r="M210" i="6"/>
  <c r="AH210" i="6" s="1"/>
  <c r="H210" i="6"/>
  <c r="A210" i="6"/>
  <c r="AH209" i="6"/>
  <c r="AG209" i="6"/>
  <c r="AE209" i="6"/>
  <c r="Y209" i="6"/>
  <c r="S209" i="6"/>
  <c r="AJ209" i="6" s="1"/>
  <c r="M209" i="6"/>
  <c r="H209" i="6"/>
  <c r="F209" i="6"/>
  <c r="A209" i="6"/>
  <c r="AJ208" i="6"/>
  <c r="AE208" i="6"/>
  <c r="Y208" i="6"/>
  <c r="S208" i="6"/>
  <c r="M208" i="6"/>
  <c r="AH208" i="6" s="1"/>
  <c r="H208" i="6"/>
  <c r="AG208" i="6" s="1"/>
  <c r="AK208" i="6" s="1"/>
  <c r="F208" i="6"/>
  <c r="A208" i="6"/>
  <c r="AH207" i="6"/>
  <c r="AE207" i="6"/>
  <c r="Y207" i="6"/>
  <c r="S207" i="6"/>
  <c r="AJ207" i="6" s="1"/>
  <c r="M207" i="6"/>
  <c r="F207" i="6" s="1"/>
  <c r="H207" i="6"/>
  <c r="AG207" i="6" s="1"/>
  <c r="AK207" i="6" s="1"/>
  <c r="A207" i="6"/>
  <c r="AJ206" i="6"/>
  <c r="AH206" i="6"/>
  <c r="AG206" i="6"/>
  <c r="AK206" i="6" s="1"/>
  <c r="AE206" i="6"/>
  <c r="Y206" i="6"/>
  <c r="S206" i="6"/>
  <c r="M206" i="6"/>
  <c r="H206" i="6"/>
  <c r="F206" i="6"/>
  <c r="A206" i="6"/>
  <c r="AE205" i="6"/>
  <c r="Y205" i="6"/>
  <c r="S205" i="6"/>
  <c r="AJ205" i="6" s="1"/>
  <c r="M205" i="6"/>
  <c r="F205" i="6" s="1"/>
  <c r="H205" i="6"/>
  <c r="AG205" i="6" s="1"/>
  <c r="A205" i="6"/>
  <c r="AG204" i="6"/>
  <c r="AE204" i="6"/>
  <c r="Y204" i="6"/>
  <c r="AJ204" i="6" s="1"/>
  <c r="S204" i="6"/>
  <c r="M204" i="6"/>
  <c r="H204" i="6"/>
  <c r="A204" i="6"/>
  <c r="AJ203" i="6"/>
  <c r="AK203" i="6" s="1"/>
  <c r="AH203" i="6"/>
  <c r="AE203" i="6"/>
  <c r="Y203" i="6"/>
  <c r="S203" i="6"/>
  <c r="M203" i="6"/>
  <c r="H203" i="6"/>
  <c r="AG203" i="6" s="1"/>
  <c r="F203" i="6"/>
  <c r="A203" i="6"/>
  <c r="AG202" i="6"/>
  <c r="AE202" i="6"/>
  <c r="Y202" i="6"/>
  <c r="S202" i="6"/>
  <c r="AJ202" i="6" s="1"/>
  <c r="M202" i="6"/>
  <c r="AH202" i="6" s="1"/>
  <c r="H202" i="6"/>
  <c r="F202" i="6"/>
  <c r="A202" i="6"/>
  <c r="AH201" i="6"/>
  <c r="AG201" i="6"/>
  <c r="AK201" i="6" s="1"/>
  <c r="AE201" i="6"/>
  <c r="Y201" i="6"/>
  <c r="S201" i="6"/>
  <c r="AJ201" i="6" s="1"/>
  <c r="M201" i="6"/>
  <c r="H201" i="6"/>
  <c r="F201" i="6"/>
  <c r="A201" i="6"/>
  <c r="AJ200" i="6"/>
  <c r="AE200" i="6"/>
  <c r="Y200" i="6"/>
  <c r="S200" i="6"/>
  <c r="M200" i="6"/>
  <c r="AH200" i="6" s="1"/>
  <c r="H200" i="6"/>
  <c r="AG200" i="6" s="1"/>
  <c r="AK200" i="6" s="1"/>
  <c r="F200" i="6"/>
  <c r="A200" i="6"/>
  <c r="AH199" i="6"/>
  <c r="AE199" i="6"/>
  <c r="Y199" i="6"/>
  <c r="F199" i="6" s="1"/>
  <c r="S199" i="6"/>
  <c r="M199" i="6"/>
  <c r="H199" i="6"/>
  <c r="AG199" i="6" s="1"/>
  <c r="A199" i="6"/>
  <c r="AJ198" i="6"/>
  <c r="AH198" i="6"/>
  <c r="AG198" i="6"/>
  <c r="AK198" i="6" s="1"/>
  <c r="AE198" i="6"/>
  <c r="Y198" i="6"/>
  <c r="S198" i="6"/>
  <c r="M198" i="6"/>
  <c r="H198" i="6"/>
  <c r="F198" i="6"/>
  <c r="A198" i="6"/>
  <c r="AB197" i="6"/>
  <c r="W197" i="6"/>
  <c r="V197" i="6"/>
  <c r="R197" i="6"/>
  <c r="Q197" i="6"/>
  <c r="P197" i="6"/>
  <c r="O197" i="6"/>
  <c r="N197" i="6"/>
  <c r="L197" i="6"/>
  <c r="K197" i="6"/>
  <c r="J197" i="6"/>
  <c r="E197" i="6"/>
  <c r="AG196" i="6"/>
  <c r="AE196" i="6"/>
  <c r="X196" i="6"/>
  <c r="Y196" i="6" s="1"/>
  <c r="F196" i="6" s="1"/>
  <c r="S196" i="6"/>
  <c r="M196" i="6"/>
  <c r="AH196" i="6" s="1"/>
  <c r="H196" i="6"/>
  <c r="A196" i="6"/>
  <c r="AK195" i="6"/>
  <c r="AJ195" i="6"/>
  <c r="AH195" i="6"/>
  <c r="AE195" i="6"/>
  <c r="Y195" i="6"/>
  <c r="S195" i="6"/>
  <c r="M195" i="6"/>
  <c r="H195" i="6"/>
  <c r="AG195" i="6" s="1"/>
  <c r="F195" i="6"/>
  <c r="A195" i="6"/>
  <c r="AJ194" i="6"/>
  <c r="AG194" i="6"/>
  <c r="AK194" i="6" s="1"/>
  <c r="AE194" i="6"/>
  <c r="Y194" i="6"/>
  <c r="S194" i="6"/>
  <c r="M194" i="6"/>
  <c r="AH194" i="6" s="1"/>
  <c r="H194" i="6"/>
  <c r="A194" i="6"/>
  <c r="AH193" i="6"/>
  <c r="AG193" i="6"/>
  <c r="AE193" i="6"/>
  <c r="Y193" i="6"/>
  <c r="S193" i="6"/>
  <c r="AJ193" i="6" s="1"/>
  <c r="M193" i="6"/>
  <c r="H193" i="6"/>
  <c r="F193" i="6"/>
  <c r="A193" i="6"/>
  <c r="AJ192" i="6"/>
  <c r="AE192" i="6"/>
  <c r="Y192" i="6"/>
  <c r="S192" i="6"/>
  <c r="M192" i="6"/>
  <c r="AH192" i="6" s="1"/>
  <c r="H192" i="6"/>
  <c r="AG192" i="6" s="1"/>
  <c r="AK192" i="6" s="1"/>
  <c r="F192" i="6"/>
  <c r="A192" i="6"/>
  <c r="AH191" i="6"/>
  <c r="AE191" i="6"/>
  <c r="Y191" i="6"/>
  <c r="S191" i="6"/>
  <c r="AJ191" i="6" s="1"/>
  <c r="M191" i="6"/>
  <c r="F191" i="6" s="1"/>
  <c r="H191" i="6"/>
  <c r="AG191" i="6" s="1"/>
  <c r="AK191" i="6" s="1"/>
  <c r="A191" i="6"/>
  <c r="AH190" i="6"/>
  <c r="AG190" i="6"/>
  <c r="AE190" i="6"/>
  <c r="Y190" i="6"/>
  <c r="AJ190" i="6" s="1"/>
  <c r="S190" i="6"/>
  <c r="M190" i="6"/>
  <c r="H190" i="6"/>
  <c r="A190" i="6"/>
  <c r="AK189" i="6"/>
  <c r="AE189" i="6"/>
  <c r="X189" i="6"/>
  <c r="Y189" i="6" s="1"/>
  <c r="F189" i="6" s="1"/>
  <c r="S189" i="6"/>
  <c r="AJ189" i="6" s="1"/>
  <c r="M189" i="6"/>
  <c r="AH189" i="6" s="1"/>
  <c r="H189" i="6"/>
  <c r="AG189" i="6" s="1"/>
  <c r="A189" i="6"/>
  <c r="AH188" i="6"/>
  <c r="AG188" i="6"/>
  <c r="AE188" i="6"/>
  <c r="Y188" i="6"/>
  <c r="S188" i="6"/>
  <c r="M188" i="6"/>
  <c r="H188" i="6"/>
  <c r="A188" i="6"/>
  <c r="AJ187" i="6"/>
  <c r="AG187" i="6"/>
  <c r="AK187" i="6" s="1"/>
  <c r="AE187" i="6"/>
  <c r="Y187" i="6"/>
  <c r="S187" i="6"/>
  <c r="M187" i="6"/>
  <c r="AH187" i="6" s="1"/>
  <c r="H187" i="6"/>
  <c r="A187" i="6"/>
  <c r="AK186" i="6"/>
  <c r="AH186" i="6"/>
  <c r="AE186" i="6"/>
  <c r="Y186" i="6"/>
  <c r="S186" i="6"/>
  <c r="AJ186" i="6" s="1"/>
  <c r="M186" i="6"/>
  <c r="H186" i="6"/>
  <c r="AG186" i="6" s="1"/>
  <c r="A186" i="6"/>
  <c r="AH185" i="6"/>
  <c r="AG185" i="6"/>
  <c r="AE185" i="6"/>
  <c r="Y185" i="6"/>
  <c r="S185" i="6"/>
  <c r="M185" i="6"/>
  <c r="H185" i="6"/>
  <c r="A185" i="6"/>
  <c r="AK184" i="6"/>
  <c r="AJ184" i="6"/>
  <c r="AE184" i="6"/>
  <c r="Y184" i="6"/>
  <c r="S184" i="6"/>
  <c r="M184" i="6"/>
  <c r="AH184" i="6" s="1"/>
  <c r="H184" i="6"/>
  <c r="AG184" i="6" s="1"/>
  <c r="F184" i="6"/>
  <c r="A184" i="6"/>
  <c r="AH183" i="6"/>
  <c r="AE183" i="6"/>
  <c r="Y183" i="6"/>
  <c r="S183" i="6"/>
  <c r="AJ183" i="6" s="1"/>
  <c r="M183" i="6"/>
  <c r="H183" i="6"/>
  <c r="AG183" i="6" s="1"/>
  <c r="AK183" i="6" s="1"/>
  <c r="F183" i="6"/>
  <c r="A183" i="6"/>
  <c r="AH182" i="6"/>
  <c r="AG182" i="6"/>
  <c r="AE182" i="6"/>
  <c r="Y182" i="6"/>
  <c r="AJ182" i="6" s="1"/>
  <c r="S182" i="6"/>
  <c r="M182" i="6"/>
  <c r="H182" i="6"/>
  <c r="A182" i="6"/>
  <c r="AE181" i="6"/>
  <c r="Y181" i="6"/>
  <c r="S181" i="6"/>
  <c r="AJ181" i="6" s="1"/>
  <c r="M181" i="6"/>
  <c r="F181" i="6" s="1"/>
  <c r="H181" i="6"/>
  <c r="AG181" i="6" s="1"/>
  <c r="A181" i="6"/>
  <c r="AG180" i="6"/>
  <c r="AE180" i="6"/>
  <c r="Y180" i="6"/>
  <c r="AJ180" i="6" s="1"/>
  <c r="S180" i="6"/>
  <c r="M180" i="6"/>
  <c r="H180" i="6"/>
  <c r="A180" i="6"/>
  <c r="AJ179" i="6"/>
  <c r="AK179" i="6" s="1"/>
  <c r="AH179" i="6"/>
  <c r="AE179" i="6"/>
  <c r="Y179" i="6"/>
  <c r="S179" i="6"/>
  <c r="M179" i="6"/>
  <c r="H179" i="6"/>
  <c r="AG179" i="6" s="1"/>
  <c r="F179" i="6"/>
  <c r="A179" i="6"/>
  <c r="AG178" i="6"/>
  <c r="AE178" i="6"/>
  <c r="Y178" i="6"/>
  <c r="S178" i="6"/>
  <c r="AJ178" i="6" s="1"/>
  <c r="M178" i="6"/>
  <c r="AH178" i="6" s="1"/>
  <c r="H178" i="6"/>
  <c r="F178" i="6"/>
  <c r="A178" i="6"/>
  <c r="AH177" i="6"/>
  <c r="AG177" i="6"/>
  <c r="AE177" i="6"/>
  <c r="Y177" i="6"/>
  <c r="S177" i="6"/>
  <c r="AJ177" i="6" s="1"/>
  <c r="M177" i="6"/>
  <c r="H177" i="6"/>
  <c r="F177" i="6"/>
  <c r="A177" i="6"/>
  <c r="AJ176" i="6"/>
  <c r="AE176" i="6"/>
  <c r="Y176" i="6"/>
  <c r="S176" i="6"/>
  <c r="M176" i="6"/>
  <c r="AH176" i="6" s="1"/>
  <c r="H176" i="6"/>
  <c r="AG176" i="6" s="1"/>
  <c r="AK176" i="6" s="1"/>
  <c r="F176" i="6"/>
  <c r="A176" i="6"/>
  <c r="AH175" i="6"/>
  <c r="AG175" i="6"/>
  <c r="AE175" i="6"/>
  <c r="Y175" i="6"/>
  <c r="S175" i="6"/>
  <c r="M175" i="6"/>
  <c r="H175" i="6"/>
  <c r="A175" i="6"/>
  <c r="AJ174" i="6"/>
  <c r="AE174" i="6"/>
  <c r="Y174" i="6"/>
  <c r="F174" i="6" s="1"/>
  <c r="X174" i="6"/>
  <c r="S174" i="6"/>
  <c r="M174" i="6"/>
  <c r="AH174" i="6" s="1"/>
  <c r="H174" i="6"/>
  <c r="AG174" i="6" s="1"/>
  <c r="A174" i="6"/>
  <c r="AJ173" i="6"/>
  <c r="AG173" i="6"/>
  <c r="AE173" i="6"/>
  <c r="Y173" i="6"/>
  <c r="S173" i="6"/>
  <c r="M173" i="6"/>
  <c r="H173" i="6"/>
  <c r="A173" i="6"/>
  <c r="AJ172" i="6"/>
  <c r="AH172" i="6"/>
  <c r="AG172" i="6"/>
  <c r="AE172" i="6"/>
  <c r="Y172" i="6"/>
  <c r="S172" i="6"/>
  <c r="M172" i="6"/>
  <c r="H172" i="6"/>
  <c r="F172" i="6"/>
  <c r="A172" i="6"/>
  <c r="AG171" i="6"/>
  <c r="AE171" i="6"/>
  <c r="Y171" i="6"/>
  <c r="S171" i="6"/>
  <c r="M171" i="6"/>
  <c r="AH171" i="6" s="1"/>
  <c r="H171" i="6"/>
  <c r="A171" i="6"/>
  <c r="AH170" i="6"/>
  <c r="AG170" i="6"/>
  <c r="AE170" i="6"/>
  <c r="Y170" i="6"/>
  <c r="Y197" i="6" s="1"/>
  <c r="S170" i="6"/>
  <c r="M170" i="6"/>
  <c r="H170" i="6"/>
  <c r="A170" i="6"/>
  <c r="S169" i="6"/>
  <c r="L169" i="6"/>
  <c r="K169" i="6"/>
  <c r="J169" i="6"/>
  <c r="E169" i="6"/>
  <c r="D169" i="6"/>
  <c r="AJ168" i="6"/>
  <c r="AG168" i="6"/>
  <c r="AE168" i="6"/>
  <c r="Y168" i="6"/>
  <c r="S168" i="6"/>
  <c r="M168" i="6"/>
  <c r="H168" i="6"/>
  <c r="A168" i="6"/>
  <c r="AH167" i="6"/>
  <c r="AE167" i="6"/>
  <c r="Y167" i="6"/>
  <c r="S167" i="6"/>
  <c r="M167" i="6"/>
  <c r="F167" i="6" s="1"/>
  <c r="H167" i="6"/>
  <c r="AG167" i="6" s="1"/>
  <c r="A167" i="6"/>
  <c r="AH166" i="6"/>
  <c r="AG166" i="6"/>
  <c r="AK166" i="6" s="1"/>
  <c r="AE166" i="6"/>
  <c r="Y166" i="6"/>
  <c r="AJ166" i="6" s="1"/>
  <c r="S166" i="6"/>
  <c r="M166" i="6"/>
  <c r="H166" i="6"/>
  <c r="A166" i="6"/>
  <c r="AE165" i="6"/>
  <c r="Y165" i="6"/>
  <c r="S165" i="6"/>
  <c r="M165" i="6"/>
  <c r="AH165" i="6" s="1"/>
  <c r="H165" i="6"/>
  <c r="AG165" i="6" s="1"/>
  <c r="A165" i="6"/>
  <c r="AH164" i="6"/>
  <c r="AG164" i="6"/>
  <c r="AE164" i="6"/>
  <c r="Y164" i="6"/>
  <c r="S164" i="6"/>
  <c r="M164" i="6"/>
  <c r="F164" i="6" s="1"/>
  <c r="H164" i="6"/>
  <c r="A164" i="6"/>
  <c r="AK163" i="6"/>
  <c r="AJ163" i="6"/>
  <c r="AH163" i="6"/>
  <c r="AE163" i="6"/>
  <c r="Y163" i="6"/>
  <c r="S163" i="6"/>
  <c r="M163" i="6"/>
  <c r="H163" i="6"/>
  <c r="AG163" i="6" s="1"/>
  <c r="F163" i="6"/>
  <c r="A163" i="6"/>
  <c r="AJ162" i="6"/>
  <c r="AG162" i="6"/>
  <c r="AK162" i="6" s="1"/>
  <c r="AE162" i="6"/>
  <c r="Y162" i="6"/>
  <c r="S162" i="6"/>
  <c r="M162" i="6"/>
  <c r="AH162" i="6" s="1"/>
  <c r="H162" i="6"/>
  <c r="A162" i="6"/>
  <c r="L161" i="6"/>
  <c r="K161" i="6"/>
  <c r="J161" i="6"/>
  <c r="E161" i="6"/>
  <c r="AJ160" i="6"/>
  <c r="AH160" i="6"/>
  <c r="AE160" i="6"/>
  <c r="Y160" i="6"/>
  <c r="S160" i="6"/>
  <c r="M160" i="6"/>
  <c r="H160" i="6"/>
  <c r="AG160" i="6" s="1"/>
  <c r="AK160" i="6" s="1"/>
  <c r="F160" i="6"/>
  <c r="A160" i="6"/>
  <c r="AJ159" i="6"/>
  <c r="AH159" i="6"/>
  <c r="AE159" i="6"/>
  <c r="M159" i="6"/>
  <c r="H159" i="6"/>
  <c r="AG159" i="6" s="1"/>
  <c r="AK159" i="6" s="1"/>
  <c r="F159" i="6"/>
  <c r="A159" i="6"/>
  <c r="AJ158" i="6"/>
  <c r="AG158" i="6"/>
  <c r="AE158" i="6"/>
  <c r="Y158" i="6"/>
  <c r="Y161" i="6" s="1"/>
  <c r="S158" i="6"/>
  <c r="M158" i="6"/>
  <c r="AH158" i="6" s="1"/>
  <c r="H158" i="6"/>
  <c r="F158" i="6"/>
  <c r="A158" i="6"/>
  <c r="AH157" i="6"/>
  <c r="AE157" i="6"/>
  <c r="Y157" i="6"/>
  <c r="S157" i="6"/>
  <c r="S161" i="6" s="1"/>
  <c r="M157" i="6"/>
  <c r="H157" i="6"/>
  <c r="AG157" i="6" s="1"/>
  <c r="A157" i="6"/>
  <c r="AJ156" i="6"/>
  <c r="AE156" i="6"/>
  <c r="Y156" i="6"/>
  <c r="S156" i="6"/>
  <c r="M156" i="6"/>
  <c r="AH156" i="6" s="1"/>
  <c r="H156" i="6"/>
  <c r="AG156" i="6" s="1"/>
  <c r="AK156" i="6" s="1"/>
  <c r="A156" i="6"/>
  <c r="AH155" i="6"/>
  <c r="AE155" i="6"/>
  <c r="Y155" i="6"/>
  <c r="S155" i="6"/>
  <c r="AJ155" i="6" s="1"/>
  <c r="M155" i="6"/>
  <c r="H155" i="6"/>
  <c r="AG155" i="6" s="1"/>
  <c r="AK155" i="6" s="1"/>
  <c r="A155" i="6"/>
  <c r="AJ154" i="6"/>
  <c r="AE154" i="6"/>
  <c r="Y154" i="6"/>
  <c r="S154" i="6"/>
  <c r="M154" i="6"/>
  <c r="H154" i="6"/>
  <c r="AG154" i="6" s="1"/>
  <c r="A154" i="6"/>
  <c r="X153" i="6"/>
  <c r="W153" i="6"/>
  <c r="V153" i="6"/>
  <c r="L153" i="6"/>
  <c r="K153" i="6"/>
  <c r="J153" i="6"/>
  <c r="E153" i="6"/>
  <c r="D153" i="6"/>
  <c r="AJ152" i="6"/>
  <c r="AE152" i="6"/>
  <c r="Y152" i="6"/>
  <c r="S152" i="6"/>
  <c r="M152" i="6"/>
  <c r="AH152" i="6" s="1"/>
  <c r="H152" i="6"/>
  <c r="AG152" i="6" s="1"/>
  <c r="AK152" i="6" s="1"/>
  <c r="F152" i="6"/>
  <c r="A152" i="6"/>
  <c r="AE151" i="6"/>
  <c r="Y151" i="6"/>
  <c r="F151" i="6" s="1"/>
  <c r="S151" i="6"/>
  <c r="AJ151" i="6" s="1"/>
  <c r="M151" i="6"/>
  <c r="AH151" i="6" s="1"/>
  <c r="H151" i="6"/>
  <c r="AG151" i="6" s="1"/>
  <c r="AK151" i="6" s="1"/>
  <c r="A151" i="6"/>
  <c r="AJ150" i="6"/>
  <c r="AG150" i="6"/>
  <c r="AE150" i="6"/>
  <c r="Y150" i="6"/>
  <c r="S150" i="6"/>
  <c r="M150" i="6"/>
  <c r="AH150" i="6" s="1"/>
  <c r="H150" i="6"/>
  <c r="F150" i="6"/>
  <c r="A150" i="6"/>
  <c r="AH149" i="6"/>
  <c r="AE149" i="6"/>
  <c r="Y149" i="6"/>
  <c r="S149" i="6"/>
  <c r="AJ149" i="6" s="1"/>
  <c r="AK149" i="6" s="1"/>
  <c r="M149" i="6"/>
  <c r="H149" i="6"/>
  <c r="AG149" i="6" s="1"/>
  <c r="F149" i="6"/>
  <c r="A149" i="6"/>
  <c r="AJ148" i="6"/>
  <c r="AG148" i="6"/>
  <c r="AK148" i="6" s="1"/>
  <c r="AE148" i="6"/>
  <c r="Y148" i="6"/>
  <c r="S148" i="6"/>
  <c r="M148" i="6"/>
  <c r="AH148" i="6" s="1"/>
  <c r="H148" i="6"/>
  <c r="A148" i="6"/>
  <c r="AK147" i="6"/>
  <c r="AJ147" i="6"/>
  <c r="AE147" i="6"/>
  <c r="Y147" i="6"/>
  <c r="S147" i="6"/>
  <c r="M147" i="6"/>
  <c r="AH147" i="6" s="1"/>
  <c r="H147" i="6"/>
  <c r="AG147" i="6" s="1"/>
  <c r="F147" i="6"/>
  <c r="A147" i="6"/>
  <c r="AG146" i="6"/>
  <c r="AE146" i="6"/>
  <c r="Y146" i="6"/>
  <c r="S146" i="6"/>
  <c r="AJ146" i="6" s="1"/>
  <c r="M146" i="6"/>
  <c r="AH146" i="6" s="1"/>
  <c r="H146" i="6"/>
  <c r="A146" i="6"/>
  <c r="AK145" i="6"/>
  <c r="AH145" i="6"/>
  <c r="AG145" i="6"/>
  <c r="AE145" i="6"/>
  <c r="Y145" i="6"/>
  <c r="F145" i="6" s="1"/>
  <c r="S145" i="6"/>
  <c r="AJ145" i="6" s="1"/>
  <c r="M145" i="6"/>
  <c r="H145" i="6"/>
  <c r="A145" i="6"/>
  <c r="AK144" i="6"/>
  <c r="AJ144" i="6"/>
  <c r="AE144" i="6"/>
  <c r="Y144" i="6"/>
  <c r="F144" i="6" s="1"/>
  <c r="S144" i="6"/>
  <c r="M144" i="6"/>
  <c r="AH144" i="6" s="1"/>
  <c r="H144" i="6"/>
  <c r="AG144" i="6" s="1"/>
  <c r="A144" i="6"/>
  <c r="AH143" i="6"/>
  <c r="AE143" i="6"/>
  <c r="Y143" i="6"/>
  <c r="F143" i="6" s="1"/>
  <c r="S143" i="6"/>
  <c r="AJ143" i="6" s="1"/>
  <c r="M143" i="6"/>
  <c r="H143" i="6"/>
  <c r="AG143" i="6" s="1"/>
  <c r="A143" i="6"/>
  <c r="AJ142" i="6"/>
  <c r="AH142" i="6"/>
  <c r="AG142" i="6"/>
  <c r="AE142" i="6"/>
  <c r="Y142" i="6"/>
  <c r="S142" i="6"/>
  <c r="M142" i="6"/>
  <c r="F142" i="6" s="1"/>
  <c r="H142" i="6"/>
  <c r="A142" i="6"/>
  <c r="AE141" i="6"/>
  <c r="Y141" i="6"/>
  <c r="S141" i="6"/>
  <c r="AJ141" i="6" s="1"/>
  <c r="M141" i="6"/>
  <c r="AH141" i="6" s="1"/>
  <c r="H141" i="6"/>
  <c r="AG141" i="6" s="1"/>
  <c r="A141" i="6"/>
  <c r="AJ140" i="6"/>
  <c r="AG140" i="6"/>
  <c r="AE140" i="6"/>
  <c r="AE153" i="6" s="1"/>
  <c r="Y140" i="6"/>
  <c r="S140" i="6"/>
  <c r="M140" i="6"/>
  <c r="AH140" i="6" s="1"/>
  <c r="H140" i="6"/>
  <c r="F140" i="6"/>
  <c r="A140" i="6"/>
  <c r="AH139" i="6"/>
  <c r="AE139" i="6"/>
  <c r="Y139" i="6"/>
  <c r="S139" i="6"/>
  <c r="AJ139" i="6" s="1"/>
  <c r="M139" i="6"/>
  <c r="H139" i="6"/>
  <c r="AG139" i="6" s="1"/>
  <c r="F139" i="6"/>
  <c r="A139" i="6"/>
  <c r="AG138" i="6"/>
  <c r="AE138" i="6"/>
  <c r="Y138" i="6"/>
  <c r="S138" i="6"/>
  <c r="AJ138" i="6" s="1"/>
  <c r="M138" i="6"/>
  <c r="H138" i="6"/>
  <c r="A138" i="6"/>
  <c r="M137" i="6"/>
  <c r="L137" i="6"/>
  <c r="K137" i="6"/>
  <c r="J137" i="6"/>
  <c r="E137" i="6"/>
  <c r="D137" i="6"/>
  <c r="AE136" i="6"/>
  <c r="Y136" i="6"/>
  <c r="S136" i="6"/>
  <c r="M136" i="6"/>
  <c r="AH136" i="6" s="1"/>
  <c r="H136" i="6"/>
  <c r="AG136" i="6" s="1"/>
  <c r="A136" i="6"/>
  <c r="AH135" i="6"/>
  <c r="AE135" i="6"/>
  <c r="Y135" i="6"/>
  <c r="S135" i="6"/>
  <c r="M135" i="6"/>
  <c r="H135" i="6"/>
  <c r="AG135" i="6" s="1"/>
  <c r="A135" i="6"/>
  <c r="AJ134" i="6"/>
  <c r="AG134" i="6"/>
  <c r="AE134" i="6"/>
  <c r="Y134" i="6"/>
  <c r="S134" i="6"/>
  <c r="M134" i="6"/>
  <c r="F134" i="6" s="1"/>
  <c r="H134" i="6"/>
  <c r="A134" i="6"/>
  <c r="AE133" i="6"/>
  <c r="Y133" i="6"/>
  <c r="S133" i="6"/>
  <c r="AJ133" i="6" s="1"/>
  <c r="M133" i="6"/>
  <c r="H133" i="6"/>
  <c r="AG133" i="6" s="1"/>
  <c r="A133" i="6"/>
  <c r="AJ132" i="6"/>
  <c r="AG132" i="6"/>
  <c r="AE132" i="6"/>
  <c r="Y132" i="6"/>
  <c r="S132" i="6"/>
  <c r="M132" i="6"/>
  <c r="AH132" i="6" s="1"/>
  <c r="H132" i="6"/>
  <c r="F132" i="6"/>
  <c r="A132" i="6"/>
  <c r="AJ131" i="6"/>
  <c r="AH131" i="6"/>
  <c r="AE131" i="6"/>
  <c r="Y131" i="6"/>
  <c r="S131" i="6"/>
  <c r="M131" i="6"/>
  <c r="H131" i="6"/>
  <c r="AG131" i="6" s="1"/>
  <c r="AK131" i="6" s="1"/>
  <c r="F131" i="6"/>
  <c r="A131" i="6"/>
  <c r="AG130" i="6"/>
  <c r="AE130" i="6"/>
  <c r="Y130" i="6"/>
  <c r="S130" i="6"/>
  <c r="M130" i="6"/>
  <c r="H130" i="6"/>
  <c r="A130" i="6"/>
  <c r="AH129" i="6"/>
  <c r="AG129" i="6"/>
  <c r="AK129" i="6" s="1"/>
  <c r="AE129" i="6"/>
  <c r="AE137" i="6" s="1"/>
  <c r="Y129" i="6"/>
  <c r="F129" i="6" s="1"/>
  <c r="S129" i="6"/>
  <c r="AJ129" i="6" s="1"/>
  <c r="M129" i="6"/>
  <c r="H129" i="6"/>
  <c r="A129" i="6"/>
  <c r="AJ128" i="6"/>
  <c r="AE128" i="6"/>
  <c r="Y128" i="6"/>
  <c r="Y137" i="6" s="1"/>
  <c r="S128" i="6"/>
  <c r="M128" i="6"/>
  <c r="AH128" i="6" s="1"/>
  <c r="H128" i="6"/>
  <c r="AG128" i="6" s="1"/>
  <c r="AK128" i="6" s="1"/>
  <c r="F128" i="6"/>
  <c r="A128" i="6"/>
  <c r="AH127" i="6"/>
  <c r="AE127" i="6"/>
  <c r="Y127" i="6"/>
  <c r="S127" i="6"/>
  <c r="M127" i="6"/>
  <c r="H127" i="6"/>
  <c r="AG127" i="6" s="1"/>
  <c r="A127" i="6"/>
  <c r="T126" i="6"/>
  <c r="N126" i="6"/>
  <c r="L126" i="6"/>
  <c r="K126" i="6"/>
  <c r="J126" i="6"/>
  <c r="G126" i="6"/>
  <c r="G137" i="6" s="1"/>
  <c r="E126" i="6"/>
  <c r="D126" i="6"/>
  <c r="AH125" i="6"/>
  <c r="AE125" i="6"/>
  <c r="Y125" i="6"/>
  <c r="S125" i="6"/>
  <c r="M125" i="6"/>
  <c r="H125" i="6"/>
  <c r="AG125" i="6" s="1"/>
  <c r="A125" i="6"/>
  <c r="AJ124" i="6"/>
  <c r="AH124" i="6"/>
  <c r="AG124" i="6"/>
  <c r="AE124" i="6"/>
  <c r="Y124" i="6"/>
  <c r="S124" i="6"/>
  <c r="M124" i="6"/>
  <c r="F124" i="6" s="1"/>
  <c r="H124" i="6"/>
  <c r="A124" i="6"/>
  <c r="AE123" i="6"/>
  <c r="Y123" i="6"/>
  <c r="S123" i="6"/>
  <c r="AJ123" i="6" s="1"/>
  <c r="M123" i="6"/>
  <c r="H123" i="6"/>
  <c r="AG123" i="6" s="1"/>
  <c r="A123" i="6"/>
  <c r="AJ122" i="6"/>
  <c r="AG122" i="6"/>
  <c r="AK122" i="6" s="1"/>
  <c r="AE122" i="6"/>
  <c r="Y122" i="6"/>
  <c r="S122" i="6"/>
  <c r="M122" i="6"/>
  <c r="AH122" i="6" s="1"/>
  <c r="H122" i="6"/>
  <c r="F122" i="6"/>
  <c r="A122" i="6"/>
  <c r="AJ121" i="6"/>
  <c r="AH121" i="6"/>
  <c r="AE121" i="6"/>
  <c r="Y121" i="6"/>
  <c r="S121" i="6"/>
  <c r="M121" i="6"/>
  <c r="H121" i="6"/>
  <c r="AG121" i="6" s="1"/>
  <c r="F121" i="6"/>
  <c r="A121" i="6"/>
  <c r="AG120" i="6"/>
  <c r="AE120" i="6"/>
  <c r="Y120" i="6"/>
  <c r="S120" i="6"/>
  <c r="AJ120" i="6" s="1"/>
  <c r="M120" i="6"/>
  <c r="H120" i="6"/>
  <c r="A120" i="6"/>
  <c r="AH119" i="6"/>
  <c r="AE119" i="6"/>
  <c r="Y119" i="6"/>
  <c r="S119" i="6"/>
  <c r="AJ119" i="6" s="1"/>
  <c r="M119" i="6"/>
  <c r="F119" i="6" s="1"/>
  <c r="H119" i="6"/>
  <c r="AG119" i="6" s="1"/>
  <c r="AK119" i="6" s="1"/>
  <c r="A119" i="6"/>
  <c r="AJ118" i="6"/>
  <c r="AE118" i="6"/>
  <c r="Y118" i="6"/>
  <c r="S118" i="6"/>
  <c r="M118" i="6"/>
  <c r="AH118" i="6" s="1"/>
  <c r="H118" i="6"/>
  <c r="AG118" i="6" s="1"/>
  <c r="AK118" i="6" s="1"/>
  <c r="F118" i="6"/>
  <c r="A118" i="6"/>
  <c r="AH117" i="6"/>
  <c r="AE117" i="6"/>
  <c r="Y117" i="6"/>
  <c r="S117" i="6"/>
  <c r="M117" i="6"/>
  <c r="H117" i="6"/>
  <c r="AG117" i="6" s="1"/>
  <c r="A117" i="6"/>
  <c r="AJ116" i="6"/>
  <c r="AG116" i="6"/>
  <c r="AE116" i="6"/>
  <c r="Y116" i="6"/>
  <c r="S116" i="6"/>
  <c r="M116" i="6"/>
  <c r="F116" i="6" s="1"/>
  <c r="H116" i="6"/>
  <c r="A116" i="6"/>
  <c r="AE115" i="6"/>
  <c r="Y115" i="6"/>
  <c r="S115" i="6"/>
  <c r="AJ115" i="6" s="1"/>
  <c r="M115" i="6"/>
  <c r="H115" i="6"/>
  <c r="AG115" i="6" s="1"/>
  <c r="A115" i="6"/>
  <c r="AG114" i="6"/>
  <c r="AE114" i="6"/>
  <c r="Y114" i="6"/>
  <c r="AJ114" i="6" s="1"/>
  <c r="S114" i="6"/>
  <c r="M114" i="6"/>
  <c r="AH114" i="6" s="1"/>
  <c r="H114" i="6"/>
  <c r="F114" i="6"/>
  <c r="A114" i="6"/>
  <c r="AH113" i="6"/>
  <c r="AE113" i="6"/>
  <c r="Y113" i="6"/>
  <c r="S113" i="6"/>
  <c r="F113" i="6" s="1"/>
  <c r="M113" i="6"/>
  <c r="H113" i="6"/>
  <c r="AG113" i="6" s="1"/>
  <c r="A113" i="6"/>
  <c r="AG112" i="6"/>
  <c r="AE112" i="6"/>
  <c r="Y112" i="6"/>
  <c r="S112" i="6"/>
  <c r="AJ112" i="6" s="1"/>
  <c r="M112" i="6"/>
  <c r="H112" i="6"/>
  <c r="A112" i="6"/>
  <c r="AH111" i="6"/>
  <c r="AG111" i="6"/>
  <c r="AK111" i="6" s="1"/>
  <c r="AE111" i="6"/>
  <c r="Y111" i="6"/>
  <c r="S111" i="6"/>
  <c r="AJ111" i="6" s="1"/>
  <c r="M111" i="6"/>
  <c r="F111" i="6" s="1"/>
  <c r="H111" i="6"/>
  <c r="A111" i="6"/>
  <c r="AK110" i="6"/>
  <c r="AJ110" i="6"/>
  <c r="AE110" i="6"/>
  <c r="Y110" i="6"/>
  <c r="S110" i="6"/>
  <c r="M110" i="6"/>
  <c r="AH110" i="6" s="1"/>
  <c r="H110" i="6"/>
  <c r="AG110" i="6" s="1"/>
  <c r="F110" i="6"/>
  <c r="A110" i="6"/>
  <c r="AH109" i="6"/>
  <c r="AE109" i="6"/>
  <c r="Y109" i="6"/>
  <c r="S109" i="6"/>
  <c r="AJ109" i="6" s="1"/>
  <c r="M109" i="6"/>
  <c r="M126" i="6" s="1"/>
  <c r="H109" i="6"/>
  <c r="AG109" i="6" s="1"/>
  <c r="F109" i="6"/>
  <c r="A109" i="6"/>
  <c r="T108" i="6"/>
  <c r="R108" i="6"/>
  <c r="Q108" i="6"/>
  <c r="P108" i="6"/>
  <c r="N108" i="6"/>
  <c r="L108" i="6"/>
  <c r="K108" i="6"/>
  <c r="J108" i="6"/>
  <c r="G108" i="6"/>
  <c r="E108" i="6"/>
  <c r="D108" i="6"/>
  <c r="AJ107" i="6"/>
  <c r="AH107" i="6"/>
  <c r="AG107" i="6"/>
  <c r="AE107" i="6"/>
  <c r="M107" i="6"/>
  <c r="H107" i="6"/>
  <c r="F107" i="6"/>
  <c r="A107" i="6"/>
  <c r="AJ106" i="6"/>
  <c r="AH106" i="6"/>
  <c r="AE106" i="6"/>
  <c r="Y106" i="6"/>
  <c r="S106" i="6"/>
  <c r="M106" i="6"/>
  <c r="H106" i="6"/>
  <c r="AG106" i="6" s="1"/>
  <c r="F106" i="6"/>
  <c r="A106" i="6"/>
  <c r="AG105" i="6"/>
  <c r="AE105" i="6"/>
  <c r="Y105" i="6"/>
  <c r="S105" i="6"/>
  <c r="AJ105" i="6" s="1"/>
  <c r="M105" i="6"/>
  <c r="H105" i="6"/>
  <c r="A105" i="6"/>
  <c r="AH104" i="6"/>
  <c r="AE104" i="6"/>
  <c r="Y104" i="6"/>
  <c r="S104" i="6"/>
  <c r="AJ104" i="6" s="1"/>
  <c r="M104" i="6"/>
  <c r="F104" i="6" s="1"/>
  <c r="H104" i="6"/>
  <c r="AG104" i="6" s="1"/>
  <c r="AK104" i="6" s="1"/>
  <c r="A104" i="6"/>
  <c r="AE103" i="6"/>
  <c r="Y103" i="6"/>
  <c r="AJ103" i="6" s="1"/>
  <c r="S103" i="6"/>
  <c r="M103" i="6"/>
  <c r="AH103" i="6" s="1"/>
  <c r="H103" i="6"/>
  <c r="AG103" i="6" s="1"/>
  <c r="F103" i="6"/>
  <c r="A103" i="6"/>
  <c r="AH102" i="6"/>
  <c r="AE102" i="6"/>
  <c r="Y102" i="6"/>
  <c r="S102" i="6"/>
  <c r="M102" i="6"/>
  <c r="H102" i="6"/>
  <c r="AG102" i="6" s="1"/>
  <c r="F102" i="6"/>
  <c r="A102" i="6"/>
  <c r="AJ101" i="6"/>
  <c r="AH101" i="6"/>
  <c r="AG101" i="6"/>
  <c r="AE101" i="6"/>
  <c r="Y101" i="6"/>
  <c r="S101" i="6"/>
  <c r="M101" i="6"/>
  <c r="F101" i="6" s="1"/>
  <c r="H101" i="6"/>
  <c r="A101" i="6"/>
  <c r="AE100" i="6"/>
  <c r="Y100" i="6"/>
  <c r="S100" i="6"/>
  <c r="AJ100" i="6" s="1"/>
  <c r="M100" i="6"/>
  <c r="H100" i="6"/>
  <c r="AG100" i="6" s="1"/>
  <c r="A100" i="6"/>
  <c r="AJ99" i="6"/>
  <c r="AG99" i="6"/>
  <c r="AK99" i="6" s="1"/>
  <c r="AE99" i="6"/>
  <c r="Y99" i="6"/>
  <c r="S99" i="6"/>
  <c r="M99" i="6"/>
  <c r="AH99" i="6" s="1"/>
  <c r="H99" i="6"/>
  <c r="F99" i="6"/>
  <c r="A99" i="6"/>
  <c r="AJ98" i="6"/>
  <c r="AH98" i="6"/>
  <c r="AE98" i="6"/>
  <c r="Y98" i="6"/>
  <c r="S98" i="6"/>
  <c r="F98" i="6" s="1"/>
  <c r="M98" i="6"/>
  <c r="H98" i="6"/>
  <c r="AG98" i="6" s="1"/>
  <c r="A98" i="6"/>
  <c r="AG97" i="6"/>
  <c r="AE97" i="6"/>
  <c r="Y97" i="6"/>
  <c r="S97" i="6"/>
  <c r="AJ97" i="6" s="1"/>
  <c r="M97" i="6"/>
  <c r="H97" i="6"/>
  <c r="A97" i="6"/>
  <c r="AE96" i="6"/>
  <c r="T96" i="6"/>
  <c r="N96" i="6"/>
  <c r="L96" i="6"/>
  <c r="K96" i="6"/>
  <c r="J96" i="6"/>
  <c r="G96" i="6"/>
  <c r="E96" i="6"/>
  <c r="D96" i="6"/>
  <c r="AG95" i="6"/>
  <c r="AE95" i="6"/>
  <c r="Y95" i="6"/>
  <c r="S95" i="6"/>
  <c r="AJ95" i="6" s="1"/>
  <c r="M95" i="6"/>
  <c r="H95" i="6"/>
  <c r="A95" i="6"/>
  <c r="AH94" i="6"/>
  <c r="AE94" i="6"/>
  <c r="Y94" i="6"/>
  <c r="AJ94" i="6" s="1"/>
  <c r="S94" i="6"/>
  <c r="M94" i="6"/>
  <c r="F94" i="6" s="1"/>
  <c r="H94" i="6"/>
  <c r="AG94" i="6" s="1"/>
  <c r="AK94" i="6" s="1"/>
  <c r="A94" i="6"/>
  <c r="AE93" i="6"/>
  <c r="Y93" i="6"/>
  <c r="F93" i="6" s="1"/>
  <c r="S93" i="6"/>
  <c r="M93" i="6"/>
  <c r="AH93" i="6" s="1"/>
  <c r="H93" i="6"/>
  <c r="AG93" i="6" s="1"/>
  <c r="A93" i="6"/>
  <c r="AH92" i="6"/>
  <c r="AE92" i="6"/>
  <c r="Y92" i="6"/>
  <c r="S92" i="6"/>
  <c r="M92" i="6"/>
  <c r="H92" i="6"/>
  <c r="AG92" i="6" s="1"/>
  <c r="F92" i="6"/>
  <c r="A92" i="6"/>
  <c r="AJ91" i="6"/>
  <c r="AH91" i="6"/>
  <c r="AG91" i="6"/>
  <c r="AK91" i="6" s="1"/>
  <c r="AE91" i="6"/>
  <c r="Y91" i="6"/>
  <c r="S91" i="6"/>
  <c r="M91" i="6"/>
  <c r="F91" i="6" s="1"/>
  <c r="H91" i="6"/>
  <c r="A91" i="6"/>
  <c r="AE90" i="6"/>
  <c r="Y90" i="6"/>
  <c r="S90" i="6"/>
  <c r="AJ90" i="6" s="1"/>
  <c r="M90" i="6"/>
  <c r="H90" i="6"/>
  <c r="AG90" i="6" s="1"/>
  <c r="A90" i="6"/>
  <c r="AJ89" i="6"/>
  <c r="AG89" i="6"/>
  <c r="AK89" i="6" s="1"/>
  <c r="AE89" i="6"/>
  <c r="Y89" i="6"/>
  <c r="S89" i="6"/>
  <c r="M89" i="6"/>
  <c r="AH89" i="6" s="1"/>
  <c r="H89" i="6"/>
  <c r="F89" i="6"/>
  <c r="A89" i="6"/>
  <c r="AH88" i="6"/>
  <c r="AE88" i="6"/>
  <c r="Y88" i="6"/>
  <c r="S88" i="6"/>
  <c r="AJ88" i="6" s="1"/>
  <c r="AK88" i="6" s="1"/>
  <c r="M88" i="6"/>
  <c r="H88" i="6"/>
  <c r="AG88" i="6" s="1"/>
  <c r="F88" i="6"/>
  <c r="A88" i="6"/>
  <c r="AG87" i="6"/>
  <c r="AE87" i="6"/>
  <c r="Y87" i="6"/>
  <c r="S87" i="6"/>
  <c r="M87" i="6"/>
  <c r="H87" i="6"/>
  <c r="A87" i="6"/>
  <c r="AH86" i="6"/>
  <c r="AG86" i="6"/>
  <c r="AK86" i="6" s="1"/>
  <c r="AE86" i="6"/>
  <c r="Y86" i="6"/>
  <c r="S86" i="6"/>
  <c r="AJ86" i="6" s="1"/>
  <c r="M86" i="6"/>
  <c r="F86" i="6" s="1"/>
  <c r="H86" i="6"/>
  <c r="A86" i="6"/>
  <c r="AJ85" i="6"/>
  <c r="AE85" i="6"/>
  <c r="Y85" i="6"/>
  <c r="S85" i="6"/>
  <c r="M85" i="6"/>
  <c r="AH85" i="6" s="1"/>
  <c r="H85" i="6"/>
  <c r="AG85" i="6" s="1"/>
  <c r="AK85" i="6" s="1"/>
  <c r="A85" i="6"/>
  <c r="AH84" i="6"/>
  <c r="AE84" i="6"/>
  <c r="Y84" i="6"/>
  <c r="S84" i="6"/>
  <c r="M84" i="6"/>
  <c r="M96" i="6" s="1"/>
  <c r="H84" i="6"/>
  <c r="AG84" i="6" s="1"/>
  <c r="F84" i="6"/>
  <c r="A84" i="6"/>
  <c r="AB83" i="6"/>
  <c r="T83" i="6"/>
  <c r="N83" i="6"/>
  <c r="L83" i="6"/>
  <c r="K83" i="6"/>
  <c r="J83" i="6"/>
  <c r="G83" i="6"/>
  <c r="E83" i="6"/>
  <c r="D83" i="6"/>
  <c r="AG82" i="6"/>
  <c r="AE82" i="6"/>
  <c r="Y82" i="6"/>
  <c r="AJ82" i="6" s="1"/>
  <c r="S82" i="6"/>
  <c r="M82" i="6"/>
  <c r="AH82" i="6" s="1"/>
  <c r="H82" i="6"/>
  <c r="F82" i="6"/>
  <c r="A82" i="6"/>
  <c r="AJ81" i="6"/>
  <c r="AK81" i="6" s="1"/>
  <c r="AH81" i="6"/>
  <c r="AE81" i="6"/>
  <c r="Y81" i="6"/>
  <c r="S81" i="6"/>
  <c r="M81" i="6"/>
  <c r="H81" i="6"/>
  <c r="AG81" i="6" s="1"/>
  <c r="F81" i="6"/>
  <c r="A81" i="6"/>
  <c r="AG80" i="6"/>
  <c r="AE80" i="6"/>
  <c r="Y80" i="6"/>
  <c r="S80" i="6"/>
  <c r="M80" i="6"/>
  <c r="H80" i="6"/>
  <c r="A80" i="6"/>
  <c r="AG79" i="6"/>
  <c r="AE79" i="6"/>
  <c r="Y79" i="6"/>
  <c r="X79" i="6"/>
  <c r="S79" i="6"/>
  <c r="AJ79" i="6" s="1"/>
  <c r="M79" i="6"/>
  <c r="AH79" i="6" s="1"/>
  <c r="AK79" i="6" s="1"/>
  <c r="H79" i="6"/>
  <c r="A79" i="6"/>
  <c r="AE78" i="6"/>
  <c r="Y78" i="6"/>
  <c r="S78" i="6"/>
  <c r="M78" i="6"/>
  <c r="AH78" i="6" s="1"/>
  <c r="H78" i="6"/>
  <c r="AG78" i="6" s="1"/>
  <c r="A78" i="6"/>
  <c r="AJ77" i="6"/>
  <c r="AG77" i="6"/>
  <c r="AK77" i="6" s="1"/>
  <c r="AE77" i="6"/>
  <c r="Y77" i="6"/>
  <c r="F77" i="6" s="1"/>
  <c r="S77" i="6"/>
  <c r="M77" i="6"/>
  <c r="AH77" i="6" s="1"/>
  <c r="H77" i="6"/>
  <c r="A77" i="6"/>
  <c r="AH76" i="6"/>
  <c r="AE76" i="6"/>
  <c r="Y76" i="6"/>
  <c r="F76" i="6" s="1"/>
  <c r="S76" i="6"/>
  <c r="M76" i="6"/>
  <c r="H76" i="6"/>
  <c r="AG76" i="6" s="1"/>
  <c r="A76" i="6"/>
  <c r="AG75" i="6"/>
  <c r="AE75" i="6"/>
  <c r="Y75" i="6"/>
  <c r="S75" i="6"/>
  <c r="M75" i="6"/>
  <c r="F75" i="6" s="1"/>
  <c r="H75" i="6"/>
  <c r="A75" i="6"/>
  <c r="AH74" i="6"/>
  <c r="AG74" i="6"/>
  <c r="AK74" i="6" s="1"/>
  <c r="AE74" i="6"/>
  <c r="Y74" i="6"/>
  <c r="S74" i="6"/>
  <c r="AJ74" i="6" s="1"/>
  <c r="M74" i="6"/>
  <c r="F74" i="6" s="1"/>
  <c r="H74" i="6"/>
  <c r="A74" i="6"/>
  <c r="AJ73" i="6"/>
  <c r="AK73" i="6" s="1"/>
  <c r="AE73" i="6"/>
  <c r="Y73" i="6"/>
  <c r="S73" i="6"/>
  <c r="M73" i="6"/>
  <c r="AH73" i="6" s="1"/>
  <c r="H73" i="6"/>
  <c r="AG73" i="6" s="1"/>
  <c r="A73" i="6"/>
  <c r="AH72" i="6"/>
  <c r="AE72" i="6"/>
  <c r="Y72" i="6"/>
  <c r="F72" i="6" s="1"/>
  <c r="S72" i="6"/>
  <c r="M72" i="6"/>
  <c r="H72" i="6"/>
  <c r="AG72" i="6" s="1"/>
  <c r="A72" i="6"/>
  <c r="AG71" i="6"/>
  <c r="AE71" i="6"/>
  <c r="Y71" i="6"/>
  <c r="S71" i="6"/>
  <c r="AJ71" i="6" s="1"/>
  <c r="M71" i="6"/>
  <c r="F71" i="6" s="1"/>
  <c r="H71" i="6"/>
  <c r="A71" i="6"/>
  <c r="AG70" i="6"/>
  <c r="AE70" i="6"/>
  <c r="Y70" i="6"/>
  <c r="S70" i="6"/>
  <c r="AJ70" i="6" s="1"/>
  <c r="M70" i="6"/>
  <c r="H70" i="6"/>
  <c r="A70" i="6"/>
  <c r="AK69" i="6"/>
  <c r="AJ69" i="6"/>
  <c r="AG69" i="6"/>
  <c r="AE69" i="6"/>
  <c r="Y69" i="6"/>
  <c r="S69" i="6"/>
  <c r="M69" i="6"/>
  <c r="AH69" i="6" s="1"/>
  <c r="H69" i="6"/>
  <c r="F69" i="6"/>
  <c r="A69" i="6"/>
  <c r="AH68" i="6"/>
  <c r="AE68" i="6"/>
  <c r="Y68" i="6"/>
  <c r="AJ68" i="6" s="1"/>
  <c r="S68" i="6"/>
  <c r="M68" i="6"/>
  <c r="H68" i="6"/>
  <c r="AG68" i="6" s="1"/>
  <c r="AK68" i="6" s="1"/>
  <c r="F68" i="6"/>
  <c r="A68" i="6"/>
  <c r="AH67" i="6"/>
  <c r="AG67" i="6"/>
  <c r="AE67" i="6"/>
  <c r="Y67" i="6"/>
  <c r="S67" i="6"/>
  <c r="AJ67" i="6" s="1"/>
  <c r="M67" i="6"/>
  <c r="H67" i="6"/>
  <c r="A67" i="6"/>
  <c r="AH66" i="6"/>
  <c r="AE66" i="6"/>
  <c r="Y66" i="6"/>
  <c r="AJ66" i="6" s="1"/>
  <c r="S66" i="6"/>
  <c r="M66" i="6"/>
  <c r="F66" i="6" s="1"/>
  <c r="H66" i="6"/>
  <c r="AG66" i="6" s="1"/>
  <c r="AK66" i="6" s="1"/>
  <c r="A66" i="6"/>
  <c r="AJ65" i="6"/>
  <c r="AE65" i="6"/>
  <c r="Y65" i="6"/>
  <c r="S65" i="6"/>
  <c r="M65" i="6"/>
  <c r="H65" i="6"/>
  <c r="AG65" i="6" s="1"/>
  <c r="F65" i="6"/>
  <c r="A65" i="6"/>
  <c r="AH64" i="6"/>
  <c r="AE64" i="6"/>
  <c r="AE83" i="6" s="1"/>
  <c r="Y64" i="6"/>
  <c r="Y83" i="6" s="1"/>
  <c r="S64" i="6"/>
  <c r="AJ64" i="6" s="1"/>
  <c r="M64" i="6"/>
  <c r="H64" i="6"/>
  <c r="AG64" i="6" s="1"/>
  <c r="F64" i="6"/>
  <c r="A64" i="6"/>
  <c r="X63" i="6"/>
  <c r="W63" i="6"/>
  <c r="V63" i="6"/>
  <c r="R63" i="6"/>
  <c r="R546" i="6" s="1"/>
  <c r="Q63" i="6"/>
  <c r="Q546" i="6" s="1"/>
  <c r="P63" i="6"/>
  <c r="P546" i="6" s="1"/>
  <c r="N63" i="6"/>
  <c r="L63" i="6"/>
  <c r="G63" i="6"/>
  <c r="E63" i="6"/>
  <c r="D63" i="6"/>
  <c r="AE62" i="6"/>
  <c r="Y62" i="6"/>
  <c r="F62" i="6" s="1"/>
  <c r="S62" i="6"/>
  <c r="M62" i="6"/>
  <c r="AH62" i="6" s="1"/>
  <c r="H62" i="6"/>
  <c r="AG62" i="6" s="1"/>
  <c r="A62" i="6"/>
  <c r="AH61" i="6"/>
  <c r="AG61" i="6"/>
  <c r="AE61" i="6"/>
  <c r="Y61" i="6"/>
  <c r="S61" i="6"/>
  <c r="AJ61" i="6" s="1"/>
  <c r="M61" i="6"/>
  <c r="H61" i="6"/>
  <c r="A61" i="6"/>
  <c r="AJ60" i="6"/>
  <c r="AH60" i="6"/>
  <c r="AG60" i="6"/>
  <c r="AE60" i="6"/>
  <c r="Y60" i="6"/>
  <c r="S60" i="6"/>
  <c r="M60" i="6"/>
  <c r="H60" i="6"/>
  <c r="F60" i="6"/>
  <c r="A60" i="6"/>
  <c r="AE59" i="6"/>
  <c r="Y59" i="6"/>
  <c r="S59" i="6"/>
  <c r="AJ59" i="6" s="1"/>
  <c r="M59" i="6"/>
  <c r="H59" i="6"/>
  <c r="AG59" i="6" s="1"/>
  <c r="A59" i="6"/>
  <c r="AJ58" i="6"/>
  <c r="AH58" i="6"/>
  <c r="AG58" i="6"/>
  <c r="AK58" i="6" s="1"/>
  <c r="AE58" i="6"/>
  <c r="Y58" i="6"/>
  <c r="S58" i="6"/>
  <c r="M58" i="6"/>
  <c r="H58" i="6"/>
  <c r="F58" i="6"/>
  <c r="A58" i="6"/>
  <c r="AE57" i="6"/>
  <c r="Y57" i="6"/>
  <c r="S57" i="6"/>
  <c r="AJ57" i="6" s="1"/>
  <c r="M57" i="6"/>
  <c r="AH57" i="6" s="1"/>
  <c r="AK57" i="6" s="1"/>
  <c r="H57" i="6"/>
  <c r="AG57" i="6" s="1"/>
  <c r="F57" i="6"/>
  <c r="A57" i="6"/>
  <c r="AE56" i="6"/>
  <c r="Y56" i="6"/>
  <c r="S56" i="6"/>
  <c r="AJ56" i="6" s="1"/>
  <c r="M56" i="6"/>
  <c r="AH56" i="6" s="1"/>
  <c r="L56" i="6"/>
  <c r="K56" i="6"/>
  <c r="K63" i="6" s="1"/>
  <c r="J56" i="6"/>
  <c r="J63" i="6" s="1"/>
  <c r="H56" i="6"/>
  <c r="AG56" i="6" s="1"/>
  <c r="F56" i="6"/>
  <c r="A56" i="6"/>
  <c r="AJ55" i="6"/>
  <c r="AE55" i="6"/>
  <c r="Y55" i="6"/>
  <c r="S55" i="6"/>
  <c r="M55" i="6"/>
  <c r="AH55" i="6" s="1"/>
  <c r="H55" i="6"/>
  <c r="AG55" i="6" s="1"/>
  <c r="AK55" i="6" s="1"/>
  <c r="A55" i="6"/>
  <c r="AH54" i="6"/>
  <c r="AG54" i="6"/>
  <c r="AE54" i="6"/>
  <c r="Y54" i="6"/>
  <c r="AJ54" i="6" s="1"/>
  <c r="S54" i="6"/>
  <c r="M54" i="6"/>
  <c r="H54" i="6"/>
  <c r="A54" i="6"/>
  <c r="AH53" i="6"/>
  <c r="AG53" i="6"/>
  <c r="AE53" i="6"/>
  <c r="Y53" i="6"/>
  <c r="S53" i="6"/>
  <c r="AJ53" i="6" s="1"/>
  <c r="M53" i="6"/>
  <c r="F53" i="6" s="1"/>
  <c r="H53" i="6"/>
  <c r="A53" i="6"/>
  <c r="AE52" i="6"/>
  <c r="Y52" i="6"/>
  <c r="F52" i="6" s="1"/>
  <c r="S52" i="6"/>
  <c r="M52" i="6"/>
  <c r="AH52" i="6" s="1"/>
  <c r="H52" i="6"/>
  <c r="AG52" i="6" s="1"/>
  <c r="A52" i="6"/>
  <c r="AH51" i="6"/>
  <c r="AE51" i="6"/>
  <c r="Y51" i="6"/>
  <c r="AJ51" i="6" s="1"/>
  <c r="S51" i="6"/>
  <c r="M51" i="6"/>
  <c r="H51" i="6"/>
  <c r="AG51" i="6" s="1"/>
  <c r="AK51" i="6" s="1"/>
  <c r="F51" i="6"/>
  <c r="A51" i="6"/>
  <c r="AH50" i="6"/>
  <c r="AG50" i="6"/>
  <c r="AE50" i="6"/>
  <c r="Y50" i="6"/>
  <c r="S50" i="6"/>
  <c r="AJ50" i="6" s="1"/>
  <c r="M50" i="6"/>
  <c r="F50" i="6" s="1"/>
  <c r="H50" i="6"/>
  <c r="A50" i="6"/>
  <c r="AJ49" i="6"/>
  <c r="AH49" i="6"/>
  <c r="AG49" i="6"/>
  <c r="AK49" i="6" s="1"/>
  <c r="AE49" i="6"/>
  <c r="M49" i="6"/>
  <c r="H49" i="6"/>
  <c r="F49" i="6"/>
  <c r="A49" i="6"/>
  <c r="AH48" i="6"/>
  <c r="AG48" i="6"/>
  <c r="AE48" i="6"/>
  <c r="Y48" i="6"/>
  <c r="S48" i="6"/>
  <c r="AJ48" i="6" s="1"/>
  <c r="M48" i="6"/>
  <c r="F48" i="6" s="1"/>
  <c r="H48" i="6"/>
  <c r="A48" i="6"/>
  <c r="AG47" i="6"/>
  <c r="AE47" i="6"/>
  <c r="Y47" i="6"/>
  <c r="S47" i="6"/>
  <c r="AJ47" i="6" s="1"/>
  <c r="M47" i="6"/>
  <c r="F47" i="6" s="1"/>
  <c r="H47" i="6"/>
  <c r="A47" i="6"/>
  <c r="AH46" i="6"/>
  <c r="AE46" i="6"/>
  <c r="Y46" i="6"/>
  <c r="AJ46" i="6" s="1"/>
  <c r="S46" i="6"/>
  <c r="M46" i="6"/>
  <c r="H46" i="6"/>
  <c r="AG46" i="6" s="1"/>
  <c r="AK46" i="6" s="1"/>
  <c r="A46" i="6"/>
  <c r="AH45" i="6"/>
  <c r="AE45" i="6"/>
  <c r="Y45" i="6"/>
  <c r="AJ45" i="6" s="1"/>
  <c r="S45" i="6"/>
  <c r="M45" i="6"/>
  <c r="H45" i="6"/>
  <c r="AG45" i="6" s="1"/>
  <c r="AK45" i="6" s="1"/>
  <c r="A45" i="6"/>
  <c r="AH44" i="6"/>
  <c r="AG44" i="6"/>
  <c r="AK44" i="6" s="1"/>
  <c r="AE44" i="6"/>
  <c r="Y44" i="6"/>
  <c r="S44" i="6"/>
  <c r="AJ44" i="6" s="1"/>
  <c r="M44" i="6"/>
  <c r="F44" i="6" s="1"/>
  <c r="H44" i="6"/>
  <c r="A44" i="6"/>
  <c r="AJ43" i="6"/>
  <c r="AG43" i="6"/>
  <c r="AE43" i="6"/>
  <c r="Y43" i="6"/>
  <c r="S43" i="6"/>
  <c r="M43" i="6"/>
  <c r="F43" i="6" s="1"/>
  <c r="H43" i="6"/>
  <c r="A43" i="6"/>
  <c r="AJ42" i="6"/>
  <c r="AE42" i="6"/>
  <c r="Y42" i="6"/>
  <c r="S42" i="6"/>
  <c r="M42" i="6"/>
  <c r="AH42" i="6" s="1"/>
  <c r="H42" i="6"/>
  <c r="AG42" i="6" s="1"/>
  <c r="F42" i="6"/>
  <c r="A42" i="6"/>
  <c r="AJ41" i="6"/>
  <c r="AH41" i="6"/>
  <c r="AG41" i="6"/>
  <c r="AK41" i="6" s="1"/>
  <c r="AE41" i="6"/>
  <c r="Y41" i="6"/>
  <c r="S41" i="6"/>
  <c r="M41" i="6"/>
  <c r="H41" i="6"/>
  <c r="F41" i="6"/>
  <c r="A41" i="6"/>
  <c r="AH40" i="6"/>
  <c r="AG40" i="6"/>
  <c r="AE40" i="6"/>
  <c r="Y40" i="6"/>
  <c r="S40" i="6"/>
  <c r="AJ40" i="6" s="1"/>
  <c r="M40" i="6"/>
  <c r="F40" i="6" s="1"/>
  <c r="H40" i="6"/>
  <c r="A40" i="6"/>
  <c r="AG39" i="6"/>
  <c r="AE39" i="6"/>
  <c r="Y39" i="6"/>
  <c r="S39" i="6"/>
  <c r="AJ39" i="6" s="1"/>
  <c r="M39" i="6"/>
  <c r="F39" i="6" s="1"/>
  <c r="H39" i="6"/>
  <c r="A39" i="6"/>
  <c r="AH38" i="6"/>
  <c r="AE38" i="6"/>
  <c r="Y38" i="6"/>
  <c r="AJ38" i="6" s="1"/>
  <c r="S38" i="6"/>
  <c r="M38" i="6"/>
  <c r="H38" i="6"/>
  <c r="AG38" i="6" s="1"/>
  <c r="AK38" i="6" s="1"/>
  <c r="F38" i="6"/>
  <c r="A38" i="6"/>
  <c r="AH37" i="6"/>
  <c r="AE37" i="6"/>
  <c r="Y37" i="6"/>
  <c r="AJ37" i="6" s="1"/>
  <c r="S37" i="6"/>
  <c r="M37" i="6"/>
  <c r="H37" i="6"/>
  <c r="AG37" i="6" s="1"/>
  <c r="AK37" i="6" s="1"/>
  <c r="A37" i="6"/>
  <c r="AH36" i="6"/>
  <c r="AG36" i="6"/>
  <c r="AK36" i="6" s="1"/>
  <c r="AE36" i="6"/>
  <c r="Y36" i="6"/>
  <c r="S36" i="6"/>
  <c r="AJ36" i="6" s="1"/>
  <c r="M36" i="6"/>
  <c r="F36" i="6" s="1"/>
  <c r="H36" i="6"/>
  <c r="A36" i="6"/>
  <c r="AJ35" i="6"/>
  <c r="AG35" i="6"/>
  <c r="AE35" i="6"/>
  <c r="Y35" i="6"/>
  <c r="S35" i="6"/>
  <c r="M35" i="6"/>
  <c r="F35" i="6" s="1"/>
  <c r="H35" i="6"/>
  <c r="A35" i="6"/>
  <c r="AJ34" i="6"/>
  <c r="AE34" i="6"/>
  <c r="Y34" i="6"/>
  <c r="S34" i="6"/>
  <c r="M34" i="6"/>
  <c r="AH34" i="6" s="1"/>
  <c r="H34" i="6"/>
  <c r="AG34" i="6" s="1"/>
  <c r="F34" i="6"/>
  <c r="A34" i="6"/>
  <c r="AJ33" i="6"/>
  <c r="AH33" i="6"/>
  <c r="AG33" i="6"/>
  <c r="AK33" i="6" s="1"/>
  <c r="AE33" i="6"/>
  <c r="Y33" i="6"/>
  <c r="S33" i="6"/>
  <c r="M33" i="6"/>
  <c r="H33" i="6"/>
  <c r="F33" i="6"/>
  <c r="A33" i="6"/>
  <c r="AH32" i="6"/>
  <c r="AG32" i="6"/>
  <c r="AE32" i="6"/>
  <c r="Y32" i="6"/>
  <c r="S32" i="6"/>
  <c r="AJ32" i="6" s="1"/>
  <c r="M32" i="6"/>
  <c r="F32" i="6" s="1"/>
  <c r="H32" i="6"/>
  <c r="A32" i="6"/>
  <c r="AG31" i="6"/>
  <c r="AE31" i="6"/>
  <c r="Y31" i="6"/>
  <c r="Y63" i="6" s="1"/>
  <c r="S31" i="6"/>
  <c r="AJ31" i="6" s="1"/>
  <c r="M31" i="6"/>
  <c r="F31" i="6" s="1"/>
  <c r="H31" i="6"/>
  <c r="A31" i="6"/>
  <c r="AJ30" i="6"/>
  <c r="AG30" i="6"/>
  <c r="AE30" i="6"/>
  <c r="M30" i="6"/>
  <c r="AH30" i="6" s="1"/>
  <c r="AK30" i="6" s="1"/>
  <c r="H30" i="6"/>
  <c r="A30" i="6"/>
  <c r="X29" i="6"/>
  <c r="W29" i="6"/>
  <c r="W546" i="6" s="1"/>
  <c r="V29" i="6"/>
  <c r="T29" i="6"/>
  <c r="T545" i="6" s="1"/>
  <c r="N29" i="6"/>
  <c r="N545" i="6" s="1"/>
  <c r="L29" i="6"/>
  <c r="K29" i="6"/>
  <c r="J29" i="6"/>
  <c r="E29" i="6"/>
  <c r="D29" i="6"/>
  <c r="AH28" i="6"/>
  <c r="AE28" i="6"/>
  <c r="Y28" i="6"/>
  <c r="AJ28" i="6" s="1"/>
  <c r="S28" i="6"/>
  <c r="M28" i="6"/>
  <c r="H28" i="6"/>
  <c r="AG28" i="6" s="1"/>
  <c r="AK28" i="6" s="1"/>
  <c r="A28" i="6"/>
  <c r="AJ27" i="6"/>
  <c r="AH27" i="6"/>
  <c r="AG27" i="6"/>
  <c r="AK27" i="6" s="1"/>
  <c r="AE27" i="6"/>
  <c r="Y27" i="6"/>
  <c r="S27" i="6"/>
  <c r="M27" i="6"/>
  <c r="H27" i="6"/>
  <c r="F27" i="6"/>
  <c r="A27" i="6"/>
  <c r="AH26" i="6"/>
  <c r="AG26" i="6"/>
  <c r="AE26" i="6"/>
  <c r="Y26" i="6"/>
  <c r="F26" i="6" s="1"/>
  <c r="S26" i="6"/>
  <c r="AJ26" i="6" s="1"/>
  <c r="M26" i="6"/>
  <c r="H26" i="6"/>
  <c r="A26" i="6"/>
  <c r="AJ25" i="6"/>
  <c r="AG25" i="6"/>
  <c r="AE25" i="6"/>
  <c r="Y25" i="6"/>
  <c r="S25" i="6"/>
  <c r="M25" i="6"/>
  <c r="F25" i="6" s="1"/>
  <c r="H25" i="6"/>
  <c r="A25" i="6"/>
  <c r="AJ24" i="6"/>
  <c r="AH24" i="6"/>
  <c r="AE24" i="6"/>
  <c r="Y24" i="6"/>
  <c r="S24" i="6"/>
  <c r="M24" i="6"/>
  <c r="H24" i="6"/>
  <c r="AG24" i="6" s="1"/>
  <c r="AK24" i="6" s="1"/>
  <c r="F24" i="6"/>
  <c r="A24" i="6"/>
  <c r="AJ23" i="6"/>
  <c r="AH23" i="6"/>
  <c r="AE23" i="6"/>
  <c r="Y23" i="6"/>
  <c r="S23" i="6"/>
  <c r="M23" i="6"/>
  <c r="H23" i="6"/>
  <c r="AG23" i="6" s="1"/>
  <c r="AK23" i="6" s="1"/>
  <c r="F23" i="6"/>
  <c r="A23" i="6"/>
  <c r="AH22" i="6"/>
  <c r="AG22" i="6"/>
  <c r="AE22" i="6"/>
  <c r="Y22" i="6"/>
  <c r="S22" i="6"/>
  <c r="AJ22" i="6" s="1"/>
  <c r="M22" i="6"/>
  <c r="F22" i="6" s="1"/>
  <c r="H22" i="6"/>
  <c r="A22" i="6"/>
  <c r="AJ21" i="6"/>
  <c r="AG21" i="6"/>
  <c r="AE21" i="6"/>
  <c r="Y21" i="6"/>
  <c r="S21" i="6"/>
  <c r="M21" i="6"/>
  <c r="F21" i="6" s="1"/>
  <c r="H21" i="6"/>
  <c r="A21" i="6"/>
  <c r="AE20" i="6"/>
  <c r="Y20" i="6"/>
  <c r="AJ20" i="6" s="1"/>
  <c r="S20" i="6"/>
  <c r="M20" i="6"/>
  <c r="AH20" i="6" s="1"/>
  <c r="H20" i="6"/>
  <c r="AG20" i="6" s="1"/>
  <c r="AK20" i="6" s="1"/>
  <c r="A20" i="6"/>
  <c r="AJ19" i="6"/>
  <c r="AH19" i="6"/>
  <c r="AG19" i="6"/>
  <c r="AK19" i="6" s="1"/>
  <c r="AE19" i="6"/>
  <c r="Y19" i="6"/>
  <c r="S19" i="6"/>
  <c r="M19" i="6"/>
  <c r="H19" i="6"/>
  <c r="F19" i="6"/>
  <c r="A19" i="6"/>
  <c r="AH18" i="6"/>
  <c r="AG18" i="6"/>
  <c r="AE18" i="6"/>
  <c r="V18" i="6"/>
  <c r="Y18" i="6" s="1"/>
  <c r="F18" i="6" s="1"/>
  <c r="S18" i="6"/>
  <c r="AJ18" i="6" s="1"/>
  <c r="M18" i="6"/>
  <c r="H18" i="6"/>
  <c r="A18" i="6"/>
  <c r="AH17" i="6"/>
  <c r="AG17" i="6"/>
  <c r="AE17" i="6"/>
  <c r="Y17" i="6"/>
  <c r="S17" i="6"/>
  <c r="AJ17" i="6" s="1"/>
  <c r="M17" i="6"/>
  <c r="F17" i="6" s="1"/>
  <c r="H17" i="6"/>
  <c r="A17" i="6"/>
  <c r="AG16" i="6"/>
  <c r="AE16" i="6"/>
  <c r="V16" i="6"/>
  <c r="S16" i="6"/>
  <c r="M16" i="6"/>
  <c r="AH16" i="6" s="1"/>
  <c r="H16" i="6"/>
  <c r="A16" i="6"/>
  <c r="AG15" i="6"/>
  <c r="AE15" i="6"/>
  <c r="Y15" i="6"/>
  <c r="F15" i="6" s="1"/>
  <c r="S15" i="6"/>
  <c r="AJ15" i="6" s="1"/>
  <c r="M15" i="6"/>
  <c r="AH15" i="6" s="1"/>
  <c r="H15" i="6"/>
  <c r="A15" i="6"/>
  <c r="AJ14" i="6"/>
  <c r="AH14" i="6"/>
  <c r="AE14" i="6"/>
  <c r="Y14" i="6"/>
  <c r="S14" i="6"/>
  <c r="M14" i="6"/>
  <c r="H14" i="6"/>
  <c r="AG14" i="6" s="1"/>
  <c r="AK14" i="6" s="1"/>
  <c r="F14" i="6"/>
  <c r="A14" i="6"/>
  <c r="AJ13" i="6"/>
  <c r="AH13" i="6"/>
  <c r="AE13" i="6"/>
  <c r="Y13" i="6"/>
  <c r="S13" i="6"/>
  <c r="M13" i="6"/>
  <c r="H13" i="6"/>
  <c r="AG13" i="6" s="1"/>
  <c r="AK13" i="6" s="1"/>
  <c r="F13" i="6"/>
  <c r="A13" i="6"/>
  <c r="AH12" i="6"/>
  <c r="AG12" i="6"/>
  <c r="AE12" i="6"/>
  <c r="Y12" i="6"/>
  <c r="S12" i="6"/>
  <c r="AJ12" i="6" s="1"/>
  <c r="M12" i="6"/>
  <c r="F12" i="6" s="1"/>
  <c r="H12" i="6"/>
  <c r="A12" i="6"/>
  <c r="AJ11" i="6"/>
  <c r="AG11" i="6"/>
  <c r="AE11" i="6"/>
  <c r="Y11" i="6"/>
  <c r="S11" i="6"/>
  <c r="M11" i="6"/>
  <c r="F11" i="6" s="1"/>
  <c r="H11" i="6"/>
  <c r="A11" i="6"/>
  <c r="AE10" i="6"/>
  <c r="Y10" i="6"/>
  <c r="AJ10" i="6" s="1"/>
  <c r="S10" i="6"/>
  <c r="M10" i="6"/>
  <c r="AH10" i="6" s="1"/>
  <c r="H10" i="6"/>
  <c r="AG10" i="6" s="1"/>
  <c r="AK10" i="6" s="1"/>
  <c r="A10" i="6"/>
  <c r="AJ9" i="6"/>
  <c r="AH9" i="6"/>
  <c r="AG9" i="6"/>
  <c r="AK9" i="6" s="1"/>
  <c r="AE9" i="6"/>
  <c r="Y9" i="6"/>
  <c r="S9" i="6"/>
  <c r="M9" i="6"/>
  <c r="H9" i="6"/>
  <c r="F9" i="6"/>
  <c r="A9" i="6"/>
  <c r="AH8" i="6"/>
  <c r="AG8" i="6"/>
  <c r="AE8" i="6"/>
  <c r="Y8" i="6"/>
  <c r="S8" i="6"/>
  <c r="AJ8" i="6" s="1"/>
  <c r="M8" i="6"/>
  <c r="H8" i="6"/>
  <c r="F8" i="6"/>
  <c r="A8" i="6"/>
  <c r="AG7" i="6"/>
  <c r="AE7" i="6"/>
  <c r="Y7" i="6"/>
  <c r="S7" i="6"/>
  <c r="AJ7" i="6" s="1"/>
  <c r="M7" i="6"/>
  <c r="M29" i="6" s="1"/>
  <c r="H7" i="6"/>
  <c r="A7" i="6"/>
  <c r="AJ6" i="6"/>
  <c r="AH6" i="6"/>
  <c r="AE6" i="6"/>
  <c r="AE29" i="6" s="1"/>
  <c r="Y6" i="6"/>
  <c r="S6" i="6"/>
  <c r="S29" i="6" s="1"/>
  <c r="M6" i="6"/>
  <c r="H6" i="6"/>
  <c r="AG6" i="6" s="1"/>
  <c r="AK6" i="6" s="1"/>
  <c r="F6" i="6"/>
  <c r="A6" i="6"/>
  <c r="AE5" i="6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U32" i="5"/>
  <c r="G32" i="5"/>
  <c r="U31" i="5"/>
  <c r="G31" i="5"/>
  <c r="U30" i="5"/>
  <c r="G30" i="5"/>
  <c r="U29" i="5"/>
  <c r="G29" i="5"/>
  <c r="U28" i="5"/>
  <c r="G28" i="5"/>
  <c r="U27" i="5"/>
  <c r="G27" i="5"/>
  <c r="U26" i="5"/>
  <c r="G26" i="5"/>
  <c r="U25" i="5"/>
  <c r="G25" i="5"/>
  <c r="U24" i="5"/>
  <c r="G24" i="5"/>
  <c r="G23" i="5"/>
  <c r="G22" i="5"/>
  <c r="U21" i="5"/>
  <c r="G21" i="5"/>
  <c r="U20" i="5"/>
  <c r="G20" i="5"/>
  <c r="U19" i="5"/>
  <c r="G19" i="5"/>
  <c r="U18" i="5"/>
  <c r="G18" i="5"/>
  <c r="U17" i="5"/>
  <c r="G17" i="5"/>
  <c r="U16" i="5"/>
  <c r="G16" i="5"/>
  <c r="U15" i="5"/>
  <c r="G15" i="5"/>
  <c r="U14" i="5"/>
  <c r="G14" i="5"/>
  <c r="U13" i="5"/>
  <c r="G13" i="5"/>
  <c r="U12" i="5"/>
  <c r="G12" i="5"/>
  <c r="U11" i="5"/>
  <c r="G11" i="5"/>
  <c r="U10" i="5"/>
  <c r="G10" i="5"/>
  <c r="U9" i="5"/>
  <c r="G9" i="5"/>
  <c r="U8" i="5"/>
  <c r="G8" i="5"/>
  <c r="U7" i="5"/>
  <c r="G7" i="5"/>
  <c r="U6" i="5"/>
  <c r="U53" i="5" s="1"/>
  <c r="G6" i="5"/>
  <c r="U5" i="5"/>
  <c r="G5" i="5"/>
  <c r="U4" i="5"/>
  <c r="G4" i="5"/>
  <c r="O519" i="4"/>
  <c r="M519" i="4"/>
  <c r="K519" i="4"/>
  <c r="J519" i="4"/>
  <c r="I519" i="4"/>
  <c r="G519" i="4"/>
  <c r="E519" i="4"/>
  <c r="BA531" i="3"/>
  <c r="BA530" i="3"/>
  <c r="BA529" i="3"/>
  <c r="BA528" i="3"/>
  <c r="BA527" i="3"/>
  <c r="BA526" i="3"/>
  <c r="BA525" i="3"/>
  <c r="BF525" i="3" s="1"/>
  <c r="M525" i="3"/>
  <c r="M526" i="3" s="1"/>
  <c r="M528" i="3" s="1"/>
  <c r="L525" i="3"/>
  <c r="K525" i="3"/>
  <c r="J525" i="3"/>
  <c r="H525" i="3"/>
  <c r="M527" i="3" s="1"/>
  <c r="G525" i="3"/>
  <c r="F525" i="3"/>
  <c r="E525" i="3"/>
  <c r="BF524" i="3"/>
  <c r="BB524" i="3"/>
  <c r="BA524" i="3"/>
  <c r="BH523" i="3"/>
  <c r="M523" i="3"/>
  <c r="M524" i="3" s="1"/>
  <c r="L523" i="3"/>
  <c r="K523" i="3"/>
  <c r="J523" i="3"/>
  <c r="I523" i="3"/>
  <c r="H523" i="3"/>
  <c r="G523" i="3"/>
  <c r="F523" i="3"/>
  <c r="E523" i="3"/>
  <c r="BB522" i="3"/>
  <c r="L522" i="3"/>
  <c r="M522" i="3" s="1"/>
  <c r="K522" i="3"/>
  <c r="H522" i="3"/>
  <c r="M521" i="3"/>
  <c r="M105" i="3"/>
  <c r="I44" i="2"/>
  <c r="H44" i="2"/>
  <c r="G44" i="2"/>
  <c r="F44" i="2"/>
  <c r="E44" i="2"/>
  <c r="D44" i="2"/>
  <c r="C44" i="2"/>
  <c r="I43" i="2"/>
  <c r="H43" i="2"/>
  <c r="G43" i="2"/>
  <c r="E43" i="2"/>
  <c r="F43" i="2" s="1"/>
  <c r="D43" i="2"/>
  <c r="C43" i="2"/>
  <c r="I42" i="2"/>
  <c r="H42" i="2"/>
  <c r="G42" i="2"/>
  <c r="E42" i="2"/>
  <c r="D42" i="2"/>
  <c r="F42" i="2" s="1"/>
  <c r="C42" i="2"/>
  <c r="I41" i="2"/>
  <c r="H41" i="2"/>
  <c r="G41" i="2"/>
  <c r="F41" i="2"/>
  <c r="E41" i="2"/>
  <c r="D41" i="2"/>
  <c r="C41" i="2"/>
  <c r="I40" i="2"/>
  <c r="H40" i="2"/>
  <c r="G40" i="2"/>
  <c r="E40" i="2"/>
  <c r="D40" i="2"/>
  <c r="F40" i="2" s="1"/>
  <c r="C40" i="2"/>
  <c r="I39" i="2"/>
  <c r="H39" i="2"/>
  <c r="G39" i="2"/>
  <c r="E39" i="2"/>
  <c r="D39" i="2"/>
  <c r="F39" i="2" s="1"/>
  <c r="C39" i="2"/>
  <c r="I38" i="2"/>
  <c r="H38" i="2"/>
  <c r="G38" i="2"/>
  <c r="E38" i="2"/>
  <c r="F38" i="2" s="1"/>
  <c r="D38" i="2"/>
  <c r="C38" i="2"/>
  <c r="I37" i="2"/>
  <c r="H37" i="2"/>
  <c r="G37" i="2"/>
  <c r="E37" i="2"/>
  <c r="D37" i="2"/>
  <c r="F37" i="2" s="1"/>
  <c r="C37" i="2"/>
  <c r="I36" i="2"/>
  <c r="H36" i="2"/>
  <c r="G36" i="2"/>
  <c r="F36" i="2"/>
  <c r="E36" i="2"/>
  <c r="D36" i="2"/>
  <c r="C36" i="2"/>
  <c r="I35" i="2"/>
  <c r="H35" i="2"/>
  <c r="G35" i="2"/>
  <c r="E35" i="2"/>
  <c r="D35" i="2"/>
  <c r="F35" i="2" s="1"/>
  <c r="C35" i="2"/>
  <c r="H34" i="2"/>
  <c r="G34" i="2"/>
  <c r="F34" i="2"/>
  <c r="E34" i="2"/>
  <c r="D34" i="2"/>
  <c r="C34" i="2"/>
  <c r="I33" i="2"/>
  <c r="H33" i="2"/>
  <c r="G33" i="2"/>
  <c r="E33" i="2"/>
  <c r="D33" i="2"/>
  <c r="F33" i="2" s="1"/>
  <c r="C33" i="2"/>
  <c r="I32" i="2"/>
  <c r="H32" i="2"/>
  <c r="G32" i="2"/>
  <c r="E32" i="2"/>
  <c r="D32" i="2"/>
  <c r="F32" i="2" s="1"/>
  <c r="C32" i="2"/>
  <c r="I31" i="2"/>
  <c r="H31" i="2"/>
  <c r="G31" i="2"/>
  <c r="E31" i="2"/>
  <c r="F31" i="2" s="1"/>
  <c r="D31" i="2"/>
  <c r="C31" i="2"/>
  <c r="I30" i="2"/>
  <c r="H30" i="2"/>
  <c r="G30" i="2"/>
  <c r="E30" i="2"/>
  <c r="D30" i="2"/>
  <c r="F30" i="2" s="1"/>
  <c r="C30" i="2"/>
  <c r="I29" i="2"/>
  <c r="H29" i="2"/>
  <c r="G29" i="2"/>
  <c r="F29" i="2"/>
  <c r="E29" i="2"/>
  <c r="D29" i="2"/>
  <c r="C29" i="2"/>
  <c r="I28" i="2"/>
  <c r="H28" i="2"/>
  <c r="G28" i="2"/>
  <c r="E28" i="2"/>
  <c r="D28" i="2"/>
  <c r="F28" i="2" s="1"/>
  <c r="C28" i="2"/>
  <c r="I27" i="2"/>
  <c r="H27" i="2"/>
  <c r="G27" i="2"/>
  <c r="E27" i="2"/>
  <c r="D27" i="2"/>
  <c r="F27" i="2" s="1"/>
  <c r="C27" i="2"/>
  <c r="I26" i="2"/>
  <c r="H26" i="2"/>
  <c r="G26" i="2"/>
  <c r="F26" i="2"/>
  <c r="E26" i="2"/>
  <c r="D26" i="2"/>
  <c r="C26" i="2"/>
  <c r="I25" i="2"/>
  <c r="H25" i="2"/>
  <c r="G25" i="2"/>
  <c r="E25" i="2"/>
  <c r="D25" i="2"/>
  <c r="F25" i="2" s="1"/>
  <c r="C25" i="2"/>
  <c r="I24" i="2"/>
  <c r="H24" i="2"/>
  <c r="G24" i="2"/>
  <c r="E24" i="2"/>
  <c r="D24" i="2"/>
  <c r="F24" i="2" s="1"/>
  <c r="C24" i="2"/>
  <c r="I23" i="2"/>
  <c r="H23" i="2"/>
  <c r="G23" i="2"/>
  <c r="E23" i="2"/>
  <c r="F23" i="2" s="1"/>
  <c r="D23" i="2"/>
  <c r="C23" i="2"/>
  <c r="I22" i="2"/>
  <c r="H22" i="2"/>
  <c r="G22" i="2"/>
  <c r="E22" i="2"/>
  <c r="D22" i="2"/>
  <c r="F22" i="2" s="1"/>
  <c r="C22" i="2"/>
  <c r="I21" i="2"/>
  <c r="H21" i="2"/>
  <c r="G21" i="2"/>
  <c r="F21" i="2"/>
  <c r="E21" i="2"/>
  <c r="D21" i="2"/>
  <c r="C21" i="2"/>
  <c r="I20" i="2"/>
  <c r="H20" i="2"/>
  <c r="G20" i="2"/>
  <c r="E20" i="2"/>
  <c r="D20" i="2"/>
  <c r="F20" i="2" s="1"/>
  <c r="C20" i="2"/>
  <c r="I19" i="2"/>
  <c r="H19" i="2"/>
  <c r="G19" i="2"/>
  <c r="E19" i="2"/>
  <c r="D19" i="2"/>
  <c r="F19" i="2" s="1"/>
  <c r="C19" i="2"/>
  <c r="I18" i="2"/>
  <c r="H18" i="2"/>
  <c r="G18" i="2"/>
  <c r="F18" i="2"/>
  <c r="E18" i="2"/>
  <c r="D18" i="2"/>
  <c r="C18" i="2"/>
  <c r="I17" i="2"/>
  <c r="H17" i="2"/>
  <c r="G17" i="2"/>
  <c r="E17" i="2"/>
  <c r="D17" i="2"/>
  <c r="F17" i="2" s="1"/>
  <c r="C17" i="2"/>
  <c r="I16" i="2"/>
  <c r="H16" i="2"/>
  <c r="G16" i="2"/>
  <c r="E16" i="2"/>
  <c r="D16" i="2"/>
  <c r="F16" i="2" s="1"/>
  <c r="C16" i="2"/>
  <c r="I15" i="2"/>
  <c r="H15" i="2"/>
  <c r="G15" i="2"/>
  <c r="E15" i="2"/>
  <c r="F15" i="2" s="1"/>
  <c r="D15" i="2"/>
  <c r="C15" i="2"/>
  <c r="I14" i="2"/>
  <c r="H14" i="2"/>
  <c r="G14" i="2"/>
  <c r="G45" i="2" s="1"/>
  <c r="E14" i="2"/>
  <c r="D14" i="2"/>
  <c r="F14" i="2" s="1"/>
  <c r="C14" i="2"/>
  <c r="I13" i="2"/>
  <c r="H13" i="2"/>
  <c r="G13" i="2"/>
  <c r="F13" i="2"/>
  <c r="E13" i="2"/>
  <c r="D13" i="2"/>
  <c r="C13" i="2"/>
  <c r="I12" i="2"/>
  <c r="H12" i="2"/>
  <c r="G12" i="2"/>
  <c r="E12" i="2"/>
  <c r="D12" i="2"/>
  <c r="F12" i="2" s="1"/>
  <c r="C12" i="2"/>
  <c r="I11" i="2"/>
  <c r="H11" i="2"/>
  <c r="G11" i="2"/>
  <c r="E11" i="2"/>
  <c r="D11" i="2"/>
  <c r="F11" i="2" s="1"/>
  <c r="C11" i="2"/>
  <c r="I10" i="2"/>
  <c r="H10" i="2"/>
  <c r="G10" i="2"/>
  <c r="F10" i="2"/>
  <c r="E10" i="2"/>
  <c r="D10" i="2"/>
  <c r="C10" i="2"/>
  <c r="I9" i="2"/>
  <c r="H9" i="2"/>
  <c r="G9" i="2"/>
  <c r="E9" i="2"/>
  <c r="D9" i="2"/>
  <c r="F9" i="2" s="1"/>
  <c r="C9" i="2"/>
  <c r="I8" i="2"/>
  <c r="H8" i="2"/>
  <c r="G8" i="2"/>
  <c r="E8" i="2"/>
  <c r="D8" i="2"/>
  <c r="F8" i="2" s="1"/>
  <c r="C8" i="2"/>
  <c r="I7" i="2"/>
  <c r="I45" i="2" s="1"/>
  <c r="H7" i="2"/>
  <c r="H45" i="2" s="1"/>
  <c r="G7" i="2"/>
  <c r="E7" i="2"/>
  <c r="E45" i="2" s="1"/>
  <c r="D7" i="2"/>
  <c r="D45" i="2" s="1"/>
  <c r="C7" i="2"/>
  <c r="C45" i="2" s="1"/>
  <c r="N8" i="1"/>
  <c r="M8" i="1"/>
  <c r="L8" i="1"/>
  <c r="K8" i="1"/>
  <c r="I8" i="1"/>
  <c r="K4" i="1"/>
  <c r="J4" i="1"/>
  <c r="J8" i="1" s="1"/>
  <c r="AK53" i="6" l="1"/>
  <c r="AK7" i="6"/>
  <c r="AK8" i="6"/>
  <c r="AK12" i="6"/>
  <c r="AK17" i="6"/>
  <c r="AK18" i="6"/>
  <c r="AK22" i="6"/>
  <c r="AK34" i="6"/>
  <c r="AK42" i="6"/>
  <c r="AK48" i="6"/>
  <c r="AK50" i="6"/>
  <c r="AK43" i="6"/>
  <c r="AK25" i="6"/>
  <c r="AK26" i="6"/>
  <c r="AK32" i="6"/>
  <c r="AK40" i="6"/>
  <c r="AK56" i="6"/>
  <c r="AK103" i="6"/>
  <c r="AK136" i="6"/>
  <c r="AK15" i="6"/>
  <c r="AK39" i="6"/>
  <c r="AK71" i="6"/>
  <c r="AK92" i="6"/>
  <c r="AH11" i="6"/>
  <c r="AK11" i="6" s="1"/>
  <c r="AH21" i="6"/>
  <c r="AK21" i="6" s="1"/>
  <c r="F30" i="6"/>
  <c r="AH31" i="6"/>
  <c r="AK31" i="6" s="1"/>
  <c r="AH39" i="6"/>
  <c r="AH47" i="6"/>
  <c r="AK47" i="6" s="1"/>
  <c r="F59" i="6"/>
  <c r="AH59" i="6"/>
  <c r="AK59" i="6" s="1"/>
  <c r="M63" i="6"/>
  <c r="AH71" i="6"/>
  <c r="AJ75" i="6"/>
  <c r="AK107" i="6"/>
  <c r="AJ113" i="6"/>
  <c r="AK114" i="6"/>
  <c r="AH116" i="6"/>
  <c r="AK116" i="6" s="1"/>
  <c r="AJ127" i="6"/>
  <c r="F127" i="6"/>
  <c r="F130" i="6"/>
  <c r="AH130" i="6"/>
  <c r="AE169" i="6"/>
  <c r="AK171" i="6"/>
  <c r="F231" i="6"/>
  <c r="AH231" i="6"/>
  <c r="AK371" i="6"/>
  <c r="AP274" i="7"/>
  <c r="Y249" i="7"/>
  <c r="AK54" i="6"/>
  <c r="F61" i="6"/>
  <c r="AJ62" i="6"/>
  <c r="AK62" i="6" s="1"/>
  <c r="F79" i="6"/>
  <c r="F85" i="6"/>
  <c r="AJ92" i="6"/>
  <c r="F95" i="6"/>
  <c r="AH95" i="6"/>
  <c r="AK95" i="6" s="1"/>
  <c r="AK98" i="6"/>
  <c r="AK109" i="6"/>
  <c r="AK124" i="6"/>
  <c r="AJ130" i="6"/>
  <c r="S137" i="6"/>
  <c r="F133" i="6"/>
  <c r="AH133" i="6"/>
  <c r="AK133" i="6" s="1"/>
  <c r="AJ135" i="6"/>
  <c r="AJ136" i="6"/>
  <c r="F136" i="6"/>
  <c r="AK142" i="6"/>
  <c r="F154" i="6"/>
  <c r="AH154" i="6"/>
  <c r="AK154" i="6" s="1"/>
  <c r="AJ164" i="6"/>
  <c r="Y169" i="6"/>
  <c r="AK182" i="6"/>
  <c r="AK190" i="6"/>
  <c r="F250" i="6"/>
  <c r="AH250" i="6"/>
  <c r="AK250" i="6" s="1"/>
  <c r="AK259" i="6"/>
  <c r="F503" i="6"/>
  <c r="AH503" i="6"/>
  <c r="N547" i="6"/>
  <c r="N548" i="6" s="1"/>
  <c r="AK135" i="6"/>
  <c r="L264" i="7"/>
  <c r="AN264" i="7"/>
  <c r="AK67" i="6"/>
  <c r="F70" i="6"/>
  <c r="AH70" i="6"/>
  <c r="AK70" i="6" s="1"/>
  <c r="AJ72" i="6"/>
  <c r="F97" i="6"/>
  <c r="AH97" i="6"/>
  <c r="M108" i="6"/>
  <c r="AK113" i="6"/>
  <c r="AK146" i="6"/>
  <c r="F235" i="6"/>
  <c r="AH235" i="6"/>
  <c r="AK235" i="6" s="1"/>
  <c r="F258" i="6"/>
  <c r="AH258" i="6"/>
  <c r="AK258" i="6" s="1"/>
  <c r="F259" i="6"/>
  <c r="AH259" i="6"/>
  <c r="AJ321" i="6"/>
  <c r="AK321" i="6" s="1"/>
  <c r="F321" i="6"/>
  <c r="S421" i="6"/>
  <c r="AJ411" i="6"/>
  <c r="AK61" i="6"/>
  <c r="AH224" i="6"/>
  <c r="F224" i="6"/>
  <c r="J546" i="6"/>
  <c r="AE63" i="6"/>
  <c r="F37" i="6"/>
  <c r="F45" i="6"/>
  <c r="F54" i="6"/>
  <c r="AK64" i="6"/>
  <c r="AK82" i="6"/>
  <c r="F100" i="6"/>
  <c r="AH100" i="6"/>
  <c r="AK100" i="6" s="1"/>
  <c r="F112" i="6"/>
  <c r="AH112" i="6"/>
  <c r="AK112" i="6" s="1"/>
  <c r="S126" i="6"/>
  <c r="AK140" i="6"/>
  <c r="S153" i="6"/>
  <c r="AK199" i="6"/>
  <c r="F315" i="6"/>
  <c r="AH315" i="6"/>
  <c r="AJ362" i="6"/>
  <c r="F362" i="6"/>
  <c r="F375" i="6" s="1"/>
  <c r="Y375" i="6"/>
  <c r="AJ125" i="6"/>
  <c r="F125" i="6"/>
  <c r="AH7" i="6"/>
  <c r="V546" i="6"/>
  <c r="AH25" i="6"/>
  <c r="K546" i="6"/>
  <c r="S63" i="6"/>
  <c r="AH35" i="6"/>
  <c r="AK35" i="6" s="1"/>
  <c r="AH43" i="6"/>
  <c r="AK72" i="6"/>
  <c r="F73" i="6"/>
  <c r="AH75" i="6"/>
  <c r="AK75" i="6" s="1"/>
  <c r="AJ78" i="6"/>
  <c r="AK78" i="6" s="1"/>
  <c r="F78" i="6"/>
  <c r="AJ84" i="6"/>
  <c r="AK84" i="6" s="1"/>
  <c r="F87" i="6"/>
  <c r="AH87" i="6"/>
  <c r="AK87" i="6" s="1"/>
  <c r="AJ93" i="6"/>
  <c r="AK93" i="6" s="1"/>
  <c r="Y108" i="6"/>
  <c r="AK106" i="6"/>
  <c r="Y126" i="6"/>
  <c r="F115" i="6"/>
  <c r="F126" i="6" s="1"/>
  <c r="AH115" i="6"/>
  <c r="AK115" i="6" s="1"/>
  <c r="AK121" i="6"/>
  <c r="AK130" i="6"/>
  <c r="AH134" i="6"/>
  <c r="AK134" i="6" s="1"/>
  <c r="AK150" i="6"/>
  <c r="AK174" i="6"/>
  <c r="F345" i="6"/>
  <c r="AH345" i="6"/>
  <c r="AK345" i="6" s="1"/>
  <c r="F458" i="6"/>
  <c r="AH458" i="6"/>
  <c r="F461" i="6"/>
  <c r="AH461" i="6"/>
  <c r="AK461" i="6" s="1"/>
  <c r="AJ500" i="6"/>
  <c r="F500" i="6"/>
  <c r="F7" i="2"/>
  <c r="F45" i="2" s="1"/>
  <c r="G46" i="2" s="1"/>
  <c r="F7" i="6"/>
  <c r="F29" i="6" s="1"/>
  <c r="Y16" i="6"/>
  <c r="F16" i="6" s="1"/>
  <c r="L546" i="6"/>
  <c r="AJ52" i="6"/>
  <c r="AK52" i="6" s="1"/>
  <c r="F55" i="6"/>
  <c r="AK60" i="6"/>
  <c r="S83" i="6"/>
  <c r="AH65" i="6"/>
  <c r="AK65" i="6" s="1"/>
  <c r="M83" i="6"/>
  <c r="AJ76" i="6"/>
  <c r="AK76" i="6" s="1"/>
  <c r="F80" i="6"/>
  <c r="AH80" i="6"/>
  <c r="AK80" i="6" s="1"/>
  <c r="Y96" i="6"/>
  <c r="AJ87" i="6"/>
  <c r="S96" i="6"/>
  <c r="AE108" i="6"/>
  <c r="AJ102" i="6"/>
  <c r="AK102" i="6" s="1"/>
  <c r="F105" i="6"/>
  <c r="AH105" i="6"/>
  <c r="AK105" i="6" s="1"/>
  <c r="S108" i="6"/>
  <c r="AE126" i="6"/>
  <c r="AJ117" i="6"/>
  <c r="AK117" i="6" s="1"/>
  <c r="F117" i="6"/>
  <c r="F120" i="6"/>
  <c r="AH120" i="6"/>
  <c r="AK120" i="6" s="1"/>
  <c r="AK125" i="6"/>
  <c r="AK132" i="6"/>
  <c r="AK139" i="6"/>
  <c r="AK143" i="6"/>
  <c r="AK167" i="6"/>
  <c r="AH168" i="6"/>
  <c r="AK168" i="6" s="1"/>
  <c r="M169" i="6"/>
  <c r="F168" i="6"/>
  <c r="S197" i="6"/>
  <c r="AJ171" i="6"/>
  <c r="AH173" i="6"/>
  <c r="F173" i="6"/>
  <c r="Y233" i="6"/>
  <c r="AK216" i="6"/>
  <c r="AK221" i="6"/>
  <c r="AJ234" i="6"/>
  <c r="Y239" i="6"/>
  <c r="AJ266" i="6"/>
  <c r="F266" i="6"/>
  <c r="F405" i="6"/>
  <c r="AH405" i="6"/>
  <c r="F10" i="6"/>
  <c r="F20" i="6"/>
  <c r="F28" i="6"/>
  <c r="F46" i="6"/>
  <c r="G545" i="6"/>
  <c r="F67" i="6"/>
  <c r="AJ80" i="6"/>
  <c r="F90" i="6"/>
  <c r="AH90" i="6"/>
  <c r="AK90" i="6" s="1"/>
  <c r="AK97" i="6"/>
  <c r="AK101" i="6"/>
  <c r="F123" i="6"/>
  <c r="AH123" i="6"/>
  <c r="AK123" i="6" s="1"/>
  <c r="AK127" i="6"/>
  <c r="M153" i="6"/>
  <c r="AK141" i="6"/>
  <c r="AE197" i="6"/>
  <c r="AJ175" i="6"/>
  <c r="AK175" i="6" s="1"/>
  <c r="F175" i="6"/>
  <c r="M233" i="6"/>
  <c r="AH216" i="6"/>
  <c r="F216" i="6"/>
  <c r="AH218" i="6"/>
  <c r="F218" i="6"/>
  <c r="AK219" i="6"/>
  <c r="AK224" i="6"/>
  <c r="F240" i="6"/>
  <c r="Y278" i="6"/>
  <c r="AK256" i="6"/>
  <c r="AK316" i="6"/>
  <c r="Y153" i="6"/>
  <c r="AK178" i="6"/>
  <c r="AK188" i="6"/>
  <c r="S233" i="6"/>
  <c r="AK202" i="6"/>
  <c r="AK220" i="6"/>
  <c r="AK222" i="6"/>
  <c r="F234" i="6"/>
  <c r="AH234" i="6"/>
  <c r="M239" i="6"/>
  <c r="M278" i="6"/>
  <c r="AK243" i="6"/>
  <c r="AK264" i="6"/>
  <c r="AK273" i="6"/>
  <c r="AK280" i="6"/>
  <c r="AK289" i="6"/>
  <c r="AK353" i="6"/>
  <c r="AK356" i="6"/>
  <c r="F369" i="6"/>
  <c r="AH369" i="6"/>
  <c r="AK380" i="6"/>
  <c r="AK442" i="6"/>
  <c r="L94" i="7"/>
  <c r="AP94" i="7"/>
  <c r="AQ94" i="7" s="1"/>
  <c r="L102" i="7"/>
  <c r="AN102" i="7"/>
  <c r="AQ102" i="7" s="1"/>
  <c r="F148" i="6"/>
  <c r="F155" i="6"/>
  <c r="F156" i="6"/>
  <c r="F162" i="6"/>
  <c r="AK164" i="6"/>
  <c r="AJ167" i="6"/>
  <c r="AH181" i="6"/>
  <c r="AK181" i="6" s="1"/>
  <c r="F187" i="6"/>
  <c r="F194" i="6"/>
  <c r="AJ199" i="6"/>
  <c r="AH205" i="6"/>
  <c r="AK205" i="6" s="1"/>
  <c r="F210" i="6"/>
  <c r="AK212" i="6"/>
  <c r="AK214" i="6"/>
  <c r="AK230" i="6"/>
  <c r="AJ236" i="6"/>
  <c r="AK236" i="6" s="1"/>
  <c r="F236" i="6"/>
  <c r="AJ240" i="6"/>
  <c r="AK240" i="6" s="1"/>
  <c r="S278" i="6"/>
  <c r="AK249" i="6"/>
  <c r="AK255" i="6"/>
  <c r="AJ260" i="6"/>
  <c r="F260" i="6"/>
  <c r="AK266" i="6"/>
  <c r="AK284" i="6"/>
  <c r="F290" i="6"/>
  <c r="F297" i="6" s="1"/>
  <c r="AH290" i="6"/>
  <c r="AK290" i="6" s="1"/>
  <c r="AK295" i="6"/>
  <c r="AH300" i="6"/>
  <c r="AK300" i="6" s="1"/>
  <c r="AJ304" i="6"/>
  <c r="AK304" i="6" s="1"/>
  <c r="F304" i="6"/>
  <c r="AK312" i="6"/>
  <c r="AK327" i="6"/>
  <c r="AE346" i="6"/>
  <c r="S346" i="6"/>
  <c r="AJ339" i="6"/>
  <c r="F368" i="6"/>
  <c r="AH368" i="6"/>
  <c r="AE421" i="6"/>
  <c r="AK417" i="6"/>
  <c r="AK426" i="6"/>
  <c r="AJ444" i="6"/>
  <c r="F444" i="6"/>
  <c r="AE464" i="6"/>
  <c r="F487" i="6"/>
  <c r="AH487" i="6"/>
  <c r="AE501" i="6"/>
  <c r="AK538" i="6"/>
  <c r="F135" i="6"/>
  <c r="AH138" i="6"/>
  <c r="AK138" i="6" s="1"/>
  <c r="F157" i="6"/>
  <c r="AJ157" i="6"/>
  <c r="AK157" i="6" s="1"/>
  <c r="AJ185" i="6"/>
  <c r="F185" i="6"/>
  <c r="AE233" i="6"/>
  <c r="F228" i="6"/>
  <c r="AH228" i="6"/>
  <c r="AK228" i="6" s="1"/>
  <c r="S239" i="6"/>
  <c r="AJ253" i="6"/>
  <c r="AK253" i="6" s="1"/>
  <c r="F253" i="6"/>
  <c r="AK260" i="6"/>
  <c r="AJ306" i="6"/>
  <c r="AK306" i="6" s="1"/>
  <c r="F306" i="6"/>
  <c r="AK315" i="6"/>
  <c r="F330" i="6"/>
  <c r="AH330" i="6"/>
  <c r="AK330" i="6" s="1"/>
  <c r="M331" i="6"/>
  <c r="AJ336" i="6"/>
  <c r="AK336" i="6" s="1"/>
  <c r="Y439" i="6"/>
  <c r="F439" i="6" s="1"/>
  <c r="X446" i="6"/>
  <c r="X546" i="6" s="1"/>
  <c r="AJ476" i="6"/>
  <c r="AK476" i="6" s="1"/>
  <c r="Y478" i="6"/>
  <c r="AK519" i="6"/>
  <c r="F138" i="6"/>
  <c r="F146" i="6"/>
  <c r="AE161" i="6"/>
  <c r="AK158" i="6"/>
  <c r="F166" i="6"/>
  <c r="M197" i="6"/>
  <c r="F171" i="6"/>
  <c r="AK172" i="6"/>
  <c r="F182" i="6"/>
  <c r="F190" i="6"/>
  <c r="F220" i="6"/>
  <c r="AH220" i="6"/>
  <c r="AK234" i="6"/>
  <c r="AK244" i="6"/>
  <c r="F256" i="6"/>
  <c r="AK265" i="6"/>
  <c r="AK272" i="6"/>
  <c r="AK281" i="6"/>
  <c r="AK288" i="6"/>
  <c r="Y308" i="6"/>
  <c r="AJ310" i="6"/>
  <c r="AK310" i="6" s="1"/>
  <c r="S331" i="6"/>
  <c r="F313" i="6"/>
  <c r="F325" i="6"/>
  <c r="AH325" i="6"/>
  <c r="AK332" i="6"/>
  <c r="AK354" i="6"/>
  <c r="AK382" i="6"/>
  <c r="AK422" i="6"/>
  <c r="AK508" i="6"/>
  <c r="AJ511" i="6"/>
  <c r="S515" i="6"/>
  <c r="AK526" i="6"/>
  <c r="AK537" i="6"/>
  <c r="F141" i="6"/>
  <c r="M161" i="6"/>
  <c r="F165" i="6"/>
  <c r="AJ170" i="6"/>
  <c r="AK170" i="6" s="1"/>
  <c r="F170" i="6"/>
  <c r="X197" i="6"/>
  <c r="AJ188" i="6"/>
  <c r="F188" i="6"/>
  <c r="F212" i="6"/>
  <c r="AH212" i="6"/>
  <c r="AK217" i="6"/>
  <c r="AK225" i="6"/>
  <c r="AK248" i="6"/>
  <c r="AJ269" i="6"/>
  <c r="AK269" i="6" s="1"/>
  <c r="F282" i="6"/>
  <c r="F287" i="6" s="1"/>
  <c r="AH282" i="6"/>
  <c r="AK282" i="6" s="1"/>
  <c r="AK292" i="6"/>
  <c r="AK298" i="6"/>
  <c r="F342" i="6"/>
  <c r="AH342" i="6"/>
  <c r="AK360" i="6"/>
  <c r="F397" i="6"/>
  <c r="AH397" i="6"/>
  <c r="AK397" i="6" s="1"/>
  <c r="AK411" i="6"/>
  <c r="AK420" i="6"/>
  <c r="AK432" i="6"/>
  <c r="AK480" i="6"/>
  <c r="L33" i="7"/>
  <c r="AN33" i="7"/>
  <c r="AQ33" i="7" s="1"/>
  <c r="AJ165" i="6"/>
  <c r="AK165" i="6" s="1"/>
  <c r="AK173" i="6"/>
  <c r="AK177" i="6"/>
  <c r="F180" i="6"/>
  <c r="AH180" i="6"/>
  <c r="AK180" i="6" s="1"/>
  <c r="AK185" i="6"/>
  <c r="AK193" i="6"/>
  <c r="AJ196" i="6"/>
  <c r="AK196" i="6" s="1"/>
  <c r="F204" i="6"/>
  <c r="F233" i="6" s="1"/>
  <c r="AH204" i="6"/>
  <c r="AK204" i="6" s="1"/>
  <c r="AK209" i="6"/>
  <c r="AK218" i="6"/>
  <c r="AK226" i="6"/>
  <c r="AK231" i="6"/>
  <c r="AK252" i="6"/>
  <c r="AJ268" i="6"/>
  <c r="AK268" i="6" s="1"/>
  <c r="F268" i="6"/>
  <c r="AK276" i="6"/>
  <c r="Y287" i="6"/>
  <c r="AJ285" i="6"/>
  <c r="AK285" i="6" s="1"/>
  <c r="F299" i="6"/>
  <c r="AH299" i="6"/>
  <c r="AK299" i="6" s="1"/>
  <c r="F302" i="6"/>
  <c r="AK309" i="6"/>
  <c r="AE331" i="6"/>
  <c r="AJ312" i="6"/>
  <c r="F312" i="6"/>
  <c r="F333" i="6"/>
  <c r="F346" i="6" s="1"/>
  <c r="AH333" i="6"/>
  <c r="AK333" i="6" s="1"/>
  <c r="AK348" i="6"/>
  <c r="AK364" i="6"/>
  <c r="AJ399" i="6"/>
  <c r="AK399" i="6" s="1"/>
  <c r="S407" i="6"/>
  <c r="F408" i="6"/>
  <c r="AH408" i="6"/>
  <c r="AK419" i="6"/>
  <c r="AK451" i="6"/>
  <c r="AK525" i="6"/>
  <c r="F283" i="6"/>
  <c r="AJ325" i="6"/>
  <c r="AJ330" i="6"/>
  <c r="F340" i="6"/>
  <c r="F343" i="6"/>
  <c r="AK349" i="6"/>
  <c r="AJ352" i="6"/>
  <c r="F352" i="6"/>
  <c r="AK357" i="6"/>
  <c r="M375" i="6"/>
  <c r="AE386" i="6"/>
  <c r="AJ378" i="6"/>
  <c r="AK383" i="6"/>
  <c r="AK391" i="6"/>
  <c r="AJ397" i="6"/>
  <c r="AJ405" i="6"/>
  <c r="AJ408" i="6"/>
  <c r="F410" i="6"/>
  <c r="AK423" i="6"/>
  <c r="F429" i="6"/>
  <c r="AH429" i="6"/>
  <c r="AK429" i="6" s="1"/>
  <c r="AK433" i="6"/>
  <c r="M464" i="6"/>
  <c r="AH464" i="6" s="1"/>
  <c r="AK455" i="6"/>
  <c r="AK484" i="6"/>
  <c r="AK494" i="6"/>
  <c r="F498" i="6"/>
  <c r="AH498" i="6"/>
  <c r="AJ513" i="6"/>
  <c r="AK513" i="6" s="1"/>
  <c r="F513" i="6"/>
  <c r="F515" i="6" s="1"/>
  <c r="F531" i="6"/>
  <c r="AH531" i="6"/>
  <c r="AQ60" i="7"/>
  <c r="L80" i="7"/>
  <c r="AN80" i="7"/>
  <c r="AQ80" i="7" s="1"/>
  <c r="AQ181" i="7"/>
  <c r="AN203" i="7"/>
  <c r="AQ203" i="7" s="1"/>
  <c r="S179" i="7"/>
  <c r="L224" i="7"/>
  <c r="AN224" i="7"/>
  <c r="AK335" i="6"/>
  <c r="F338" i="6"/>
  <c r="AH338" i="6"/>
  <c r="AK342" i="6"/>
  <c r="F363" i="6"/>
  <c r="AH363" i="6"/>
  <c r="AK363" i="6" s="1"/>
  <c r="F371" i="6"/>
  <c r="AH371" i="6"/>
  <c r="S386" i="6"/>
  <c r="AJ386" i="6" s="1"/>
  <c r="AJ388" i="6"/>
  <c r="AK388" i="6" s="1"/>
  <c r="F388" i="6"/>
  <c r="AJ410" i="6"/>
  <c r="AK415" i="6"/>
  <c r="AJ429" i="6"/>
  <c r="S464" i="6"/>
  <c r="AJ447" i="6"/>
  <c r="F447" i="6"/>
  <c r="AJ460" i="6"/>
  <c r="F460" i="6"/>
  <c r="AJ463" i="6"/>
  <c r="F466" i="6"/>
  <c r="AH466" i="6"/>
  <c r="AK466" i="6" s="1"/>
  <c r="M471" i="6"/>
  <c r="AH471" i="6" s="1"/>
  <c r="AK471" i="6" s="1"/>
  <c r="AK489" i="6"/>
  <c r="AK492" i="6"/>
  <c r="AK504" i="6"/>
  <c r="F526" i="6"/>
  <c r="AH526" i="6"/>
  <c r="F530" i="6"/>
  <c r="AH530" i="6"/>
  <c r="L20" i="7"/>
  <c r="AN20" i="7"/>
  <c r="AQ20" i="7" s="1"/>
  <c r="L36" i="7"/>
  <c r="AN36" i="7"/>
  <c r="AQ36" i="7" s="1"/>
  <c r="L37" i="7"/>
  <c r="AN37" i="7"/>
  <c r="F341" i="6"/>
  <c r="AH341" i="6"/>
  <c r="AK341" i="6" s="1"/>
  <c r="F344" i="6"/>
  <c r="AH344" i="6"/>
  <c r="AK344" i="6" s="1"/>
  <c r="M361" i="6"/>
  <c r="F347" i="6"/>
  <c r="F361" i="6" s="1"/>
  <c r="AH347" i="6"/>
  <c r="AK352" i="6"/>
  <c r="F355" i="6"/>
  <c r="AH355" i="6"/>
  <c r="AK355" i="6" s="1"/>
  <c r="AE375" i="6"/>
  <c r="AK368" i="6"/>
  <c r="AK378" i="6"/>
  <c r="F381" i="6"/>
  <c r="AH381" i="6"/>
  <c r="AK381" i="6" s="1"/>
  <c r="Y421" i="6"/>
  <c r="AK414" i="6"/>
  <c r="AK418" i="6"/>
  <c r="F450" i="6"/>
  <c r="AH450" i="6"/>
  <c r="AK450" i="6" s="1"/>
  <c r="AK458" i="6"/>
  <c r="AK460" i="6"/>
  <c r="AJ465" i="6"/>
  <c r="F465" i="6"/>
  <c r="Y471" i="6"/>
  <c r="AJ468" i="6"/>
  <c r="S471" i="6"/>
  <c r="M478" i="6"/>
  <c r="AH478" i="6" s="1"/>
  <c r="AK478" i="6" s="1"/>
  <c r="AK475" i="6"/>
  <c r="F479" i="6"/>
  <c r="F490" i="6" s="1"/>
  <c r="AH479" i="6"/>
  <c r="AK479" i="6" s="1"/>
  <c r="M490" i="6"/>
  <c r="AH490" i="6" s="1"/>
  <c r="AK490" i="6" s="1"/>
  <c r="AK487" i="6"/>
  <c r="AK491" i="6"/>
  <c r="F506" i="6"/>
  <c r="AH506" i="6"/>
  <c r="AK506" i="6" s="1"/>
  <c r="AK517" i="6"/>
  <c r="AH525" i="6"/>
  <c r="F525" i="6"/>
  <c r="AJ529" i="6"/>
  <c r="F529" i="6"/>
  <c r="AJ535" i="6"/>
  <c r="F536" i="6"/>
  <c r="AJ536" i="6"/>
  <c r="AK536" i="6" s="1"/>
  <c r="F542" i="6"/>
  <c r="AH542" i="6"/>
  <c r="AK542" i="6" s="1"/>
  <c r="AK544" i="6"/>
  <c r="AP16" i="7"/>
  <c r="L16" i="7"/>
  <c r="AQ26" i="7"/>
  <c r="AQ63" i="7"/>
  <c r="AJ347" i="6"/>
  <c r="AK347" i="6" s="1"/>
  <c r="S361" i="6"/>
  <c r="AK362" i="6"/>
  <c r="AK370" i="6"/>
  <c r="M386" i="6"/>
  <c r="AH386" i="6" s="1"/>
  <c r="F377" i="6"/>
  <c r="AJ379" i="6"/>
  <c r="AK379" i="6" s="1"/>
  <c r="F391" i="6"/>
  <c r="AH391" i="6"/>
  <c r="AK395" i="6"/>
  <c r="AK403" i="6"/>
  <c r="AK410" i="6"/>
  <c r="F413" i="6"/>
  <c r="AH413" i="6"/>
  <c r="AK413" i="6" s="1"/>
  <c r="S446" i="6"/>
  <c r="AJ427" i="6"/>
  <c r="AK427" i="6" s="1"/>
  <c r="AK428" i="6"/>
  <c r="AK435" i="6"/>
  <c r="AK439" i="6"/>
  <c r="AK447" i="6"/>
  <c r="F453" i="6"/>
  <c r="AH453" i="6"/>
  <c r="AK453" i="6" s="1"/>
  <c r="AK463" i="6"/>
  <c r="AE471" i="6"/>
  <c r="F474" i="6"/>
  <c r="AH474" i="6"/>
  <c r="AK474" i="6" s="1"/>
  <c r="AJ479" i="6"/>
  <c r="S490" i="6"/>
  <c r="F482" i="6"/>
  <c r="AH482" i="6"/>
  <c r="AK482" i="6" s="1"/>
  <c r="AK498" i="6"/>
  <c r="AK500" i="6"/>
  <c r="AE515" i="6"/>
  <c r="AJ508" i="6"/>
  <c r="F508" i="6"/>
  <c r="F516" i="6"/>
  <c r="AH516" i="6"/>
  <c r="AK541" i="6"/>
  <c r="AQ19" i="7"/>
  <c r="AQ57" i="7"/>
  <c r="AK338" i="6"/>
  <c r="AH339" i="6"/>
  <c r="AK339" i="6" s="1"/>
  <c r="F350" i="6"/>
  <c r="AH350" i="6"/>
  <c r="AK350" i="6" s="1"/>
  <c r="AH372" i="6"/>
  <c r="AK372" i="6" s="1"/>
  <c r="F376" i="6"/>
  <c r="AH376" i="6"/>
  <c r="AK376" i="6" s="1"/>
  <c r="F384" i="6"/>
  <c r="AH384" i="6"/>
  <c r="F394" i="6"/>
  <c r="F407" i="6" s="1"/>
  <c r="AH394" i="6"/>
  <c r="AK394" i="6" s="1"/>
  <c r="M407" i="6"/>
  <c r="F402" i="6"/>
  <c r="AH402" i="6"/>
  <c r="AK402" i="6" s="1"/>
  <c r="F424" i="6"/>
  <c r="F446" i="6" s="1"/>
  <c r="AH424" i="6"/>
  <c r="F434" i="6"/>
  <c r="AH434" i="6"/>
  <c r="AK434" i="6" s="1"/>
  <c r="AK441" i="6"/>
  <c r="AK444" i="6"/>
  <c r="AJ455" i="6"/>
  <c r="F455" i="6"/>
  <c r="AK465" i="6"/>
  <c r="AJ484" i="6"/>
  <c r="F484" i="6"/>
  <c r="S501" i="6"/>
  <c r="F493" i="6"/>
  <c r="F501" i="6" s="1"/>
  <c r="AH493" i="6"/>
  <c r="AK493" i="6" s="1"/>
  <c r="AK512" i="6"/>
  <c r="S545" i="6"/>
  <c r="AJ524" i="6"/>
  <c r="AK524" i="6" s="1"/>
  <c r="F524" i="6"/>
  <c r="AK529" i="6"/>
  <c r="AK530" i="6"/>
  <c r="AH541" i="6"/>
  <c r="F541" i="6"/>
  <c r="AQ48" i="7"/>
  <c r="AQ52" i="7"/>
  <c r="L56" i="7"/>
  <c r="AN56" i="7"/>
  <c r="X331" i="6"/>
  <c r="Y328" i="6"/>
  <c r="AJ335" i="6"/>
  <c r="F335" i="6"/>
  <c r="AK340" i="6"/>
  <c r="AK343" i="6"/>
  <c r="AE361" i="6"/>
  <c r="AJ350" i="6"/>
  <c r="AK369" i="6"/>
  <c r="AK373" i="6"/>
  <c r="S375" i="6"/>
  <c r="AJ376" i="6"/>
  <c r="AJ384" i="6"/>
  <c r="M392" i="6"/>
  <c r="F387" i="6"/>
  <c r="F392" i="6" s="1"/>
  <c r="AE407" i="6"/>
  <c r="F416" i="6"/>
  <c r="AH416" i="6"/>
  <c r="AK416" i="6" s="1"/>
  <c r="M421" i="6"/>
  <c r="AJ424" i="6"/>
  <c r="AK431" i="6"/>
  <c r="F437" i="6"/>
  <c r="AH437" i="6"/>
  <c r="AK437" i="6" s="1"/>
  <c r="AK459" i="6"/>
  <c r="AK468" i="6"/>
  <c r="AE478" i="6"/>
  <c r="AE490" i="6"/>
  <c r="Y490" i="6"/>
  <c r="AJ481" i="6"/>
  <c r="AK481" i="6" s="1"/>
  <c r="Y501" i="6"/>
  <c r="AJ495" i="6"/>
  <c r="AK495" i="6" s="1"/>
  <c r="F495" i="6"/>
  <c r="AK503" i="6"/>
  <c r="AK507" i="6"/>
  <c r="F511" i="6"/>
  <c r="AH511" i="6"/>
  <c r="AK511" i="6" s="1"/>
  <c r="F514" i="6"/>
  <c r="AH514" i="6"/>
  <c r="AK514" i="6" s="1"/>
  <c r="Y545" i="6"/>
  <c r="AJ540" i="6"/>
  <c r="F540" i="6"/>
  <c r="F472" i="6"/>
  <c r="F522" i="6"/>
  <c r="AH522" i="6"/>
  <c r="AK522" i="6" s="1"/>
  <c r="Y6" i="7"/>
  <c r="S6" i="7"/>
  <c r="AQ16" i="7"/>
  <c r="AQ17" i="7"/>
  <c r="L23" i="7"/>
  <c r="AN23" i="7"/>
  <c r="AQ23" i="7" s="1"/>
  <c r="AP36" i="7"/>
  <c r="Y30" i="7"/>
  <c r="AQ61" i="7"/>
  <c r="Y64" i="7"/>
  <c r="AK64" i="7"/>
  <c r="AP100" i="7"/>
  <c r="AE97" i="7"/>
  <c r="AE154" i="7"/>
  <c r="AQ197" i="7"/>
  <c r="AE545" i="6"/>
  <c r="AK535" i="6"/>
  <c r="AK540" i="6"/>
  <c r="S30" i="7"/>
  <c r="L38" i="7"/>
  <c r="AN38" i="7"/>
  <c r="AQ38" i="7" s="1"/>
  <c r="AQ43" i="7"/>
  <c r="AP46" i="7"/>
  <c r="AQ46" i="7" s="1"/>
  <c r="L46" i="7"/>
  <c r="AQ54" i="7"/>
  <c r="AE64" i="7"/>
  <c r="L67" i="7"/>
  <c r="AN67" i="7"/>
  <c r="AQ83" i="7"/>
  <c r="L84" i="7"/>
  <c r="AQ153" i="7"/>
  <c r="AK516" i="6"/>
  <c r="F538" i="6"/>
  <c r="AH538" i="6"/>
  <c r="AQ14" i="7"/>
  <c r="AN19" i="7"/>
  <c r="L19" i="7"/>
  <c r="L25" i="7"/>
  <c r="AN25" i="7"/>
  <c r="AQ25" i="7" s="1"/>
  <c r="L69" i="7"/>
  <c r="L64" i="7" s="1"/>
  <c r="AN69" i="7"/>
  <c r="AQ69" i="7" s="1"/>
  <c r="L83" i="7"/>
  <c r="AN83" i="7"/>
  <c r="L93" i="7"/>
  <c r="AN93" i="7"/>
  <c r="L139" i="7"/>
  <c r="AN139" i="7"/>
  <c r="AQ139" i="7" s="1"/>
  <c r="F519" i="6"/>
  <c r="AK531" i="6"/>
  <c r="L11" i="7"/>
  <c r="AQ28" i="7"/>
  <c r="AE30" i="7"/>
  <c r="AQ37" i="7"/>
  <c r="AQ40" i="7"/>
  <c r="AQ44" i="7"/>
  <c r="L52" i="7"/>
  <c r="AN52" i="7"/>
  <c r="AQ56" i="7"/>
  <c r="AP57" i="7"/>
  <c r="L60" i="7"/>
  <c r="AN60" i="7"/>
  <c r="AP63" i="7"/>
  <c r="AQ73" i="7"/>
  <c r="AQ74" i="7"/>
  <c r="L92" i="7"/>
  <c r="AP92" i="7"/>
  <c r="Y146" i="7"/>
  <c r="AP149" i="7"/>
  <c r="AQ149" i="7" s="1"/>
  <c r="AJ519" i="6"/>
  <c r="F521" i="6"/>
  <c r="AE6" i="7"/>
  <c r="AQ7" i="7"/>
  <c r="AP11" i="7"/>
  <c r="AQ11" i="7" s="1"/>
  <c r="AQ12" i="7"/>
  <c r="L22" i="7"/>
  <c r="L6" i="7" s="1"/>
  <c r="AN22" i="7"/>
  <c r="AQ22" i="7" s="1"/>
  <c r="AQ62" i="7"/>
  <c r="Y84" i="7"/>
  <c r="AP85" i="7"/>
  <c r="AQ85" i="7" s="1"/>
  <c r="S97" i="7"/>
  <c r="AK105" i="7"/>
  <c r="L135" i="7"/>
  <c r="AN135" i="7"/>
  <c r="AK146" i="7"/>
  <c r="L165" i="7"/>
  <c r="AN165" i="7"/>
  <c r="F358" i="6"/>
  <c r="F477" i="6"/>
  <c r="AK527" i="6"/>
  <c r="AK532" i="6"/>
  <c r="F535" i="6"/>
  <c r="AK543" i="6"/>
  <c r="AQ10" i="7"/>
  <c r="AN24" i="7"/>
  <c r="AQ24" i="7" s="1"/>
  <c r="AQ29" i="7"/>
  <c r="AQ31" i="7"/>
  <c r="AQ39" i="7"/>
  <c r="L40" i="7"/>
  <c r="AQ41" i="7"/>
  <c r="AP48" i="7"/>
  <c r="L48" i="7"/>
  <c r="AQ51" i="7"/>
  <c r="L54" i="7"/>
  <c r="AN54" i="7"/>
  <c r="S64" i="7"/>
  <c r="AN66" i="7"/>
  <c r="AQ66" i="7" s="1"/>
  <c r="AQ67" i="7"/>
  <c r="AQ68" i="7"/>
  <c r="L72" i="7"/>
  <c r="AN72" i="7"/>
  <c r="AQ72" i="7" s="1"/>
  <c r="AQ77" i="7"/>
  <c r="AQ82" i="7"/>
  <c r="AQ88" i="7"/>
  <c r="AQ91" i="7"/>
  <c r="AQ122" i="7"/>
  <c r="AQ123" i="7"/>
  <c r="S128" i="7"/>
  <c r="AQ138" i="7"/>
  <c r="L91" i="7"/>
  <c r="AP95" i="7"/>
  <c r="AQ95" i="7" s="1"/>
  <c r="L104" i="7"/>
  <c r="AN104" i="7"/>
  <c r="AQ104" i="7" s="1"/>
  <c r="AE117" i="7"/>
  <c r="L122" i="7"/>
  <c r="AN122" i="7"/>
  <c r="L127" i="7"/>
  <c r="AN127" i="7"/>
  <c r="AQ127" i="7" s="1"/>
  <c r="L130" i="7"/>
  <c r="AN130" i="7"/>
  <c r="AQ130" i="7" s="1"/>
  <c r="AQ137" i="7"/>
  <c r="L153" i="7"/>
  <c r="L146" i="7" s="1"/>
  <c r="AQ158" i="7"/>
  <c r="AQ163" i="7"/>
  <c r="L59" i="7"/>
  <c r="L61" i="7"/>
  <c r="AQ70" i="7"/>
  <c r="AE84" i="7"/>
  <c r="AQ92" i="7"/>
  <c r="AQ101" i="7"/>
  <c r="L106" i="7"/>
  <c r="AN106" i="7"/>
  <c r="AQ106" i="7" s="1"/>
  <c r="S105" i="7"/>
  <c r="L109" i="7"/>
  <c r="AN109" i="7"/>
  <c r="AQ109" i="7" s="1"/>
  <c r="AK117" i="7"/>
  <c r="L141" i="7"/>
  <c r="AN141" i="7"/>
  <c r="AQ141" i="7" s="1"/>
  <c r="AP153" i="7"/>
  <c r="AQ161" i="7"/>
  <c r="AQ259" i="7"/>
  <c r="L111" i="7"/>
  <c r="AN111" i="7"/>
  <c r="AQ111" i="7" s="1"/>
  <c r="AQ165" i="7"/>
  <c r="AQ167" i="7"/>
  <c r="AQ177" i="7"/>
  <c r="AQ231" i="7"/>
  <c r="L240" i="7"/>
  <c r="AN240" i="7"/>
  <c r="L81" i="7"/>
  <c r="AQ93" i="7"/>
  <c r="AQ103" i="7"/>
  <c r="Y105" i="7"/>
  <c r="L113" i="7"/>
  <c r="AN113" i="7"/>
  <c r="AQ113" i="7" s="1"/>
  <c r="AQ115" i="7"/>
  <c r="AQ131" i="7"/>
  <c r="L143" i="7"/>
  <c r="AN143" i="7"/>
  <c r="AQ143" i="7" s="1"/>
  <c r="AQ148" i="7"/>
  <c r="L155" i="7"/>
  <c r="AN155" i="7"/>
  <c r="AQ155" i="7" s="1"/>
  <c r="S154" i="7"/>
  <c r="AQ168" i="7"/>
  <c r="AQ171" i="7"/>
  <c r="Y170" i="7"/>
  <c r="AP174" i="7"/>
  <c r="AQ174" i="7" s="1"/>
  <c r="L177" i="7"/>
  <c r="AN177" i="7"/>
  <c r="AY186" i="7"/>
  <c r="AZ186" i="7" s="1"/>
  <c r="AX186" i="7"/>
  <c r="AV186" i="7"/>
  <c r="AP88" i="7"/>
  <c r="AQ89" i="7"/>
  <c r="L100" i="7"/>
  <c r="L97" i="7" s="1"/>
  <c r="AN100" i="7"/>
  <c r="AQ100" i="7" s="1"/>
  <c r="L115" i="7"/>
  <c r="AN115" i="7"/>
  <c r="S117" i="7"/>
  <c r="L121" i="7"/>
  <c r="L117" i="7" s="1"/>
  <c r="AN121" i="7"/>
  <c r="AQ121" i="7" s="1"/>
  <c r="AP123" i="7"/>
  <c r="Y128" i="7"/>
  <c r="L131" i="7"/>
  <c r="AN131" i="7"/>
  <c r="AQ140" i="7"/>
  <c r="AQ145" i="7"/>
  <c r="L148" i="7"/>
  <c r="AP155" i="7"/>
  <c r="Y154" i="7"/>
  <c r="AQ166" i="7"/>
  <c r="AQ173" i="7"/>
  <c r="L190" i="7"/>
  <c r="AN190" i="7"/>
  <c r="AQ190" i="7" s="1"/>
  <c r="L191" i="7"/>
  <c r="AN191" i="7"/>
  <c r="S207" i="7"/>
  <c r="AQ75" i="7"/>
  <c r="L96" i="7"/>
  <c r="AN96" i="7"/>
  <c r="AQ96" i="7" s="1"/>
  <c r="AQ98" i="7"/>
  <c r="AQ119" i="7"/>
  <c r="AQ124" i="7"/>
  <c r="L133" i="7"/>
  <c r="AN133" i="7"/>
  <c r="AQ133" i="7" s="1"/>
  <c r="AQ135" i="7"/>
  <c r="AP148" i="7"/>
  <c r="L228" i="7"/>
  <c r="AN228" i="7"/>
  <c r="L119" i="7"/>
  <c r="L124" i="7"/>
  <c r="AN156" i="7"/>
  <c r="AQ156" i="7" s="1"/>
  <c r="L157" i="7"/>
  <c r="L167" i="7"/>
  <c r="S170" i="7"/>
  <c r="AE179" i="7"/>
  <c r="L181" i="7"/>
  <c r="AN181" i="7"/>
  <c r="AQ185" i="7"/>
  <c r="L192" i="7"/>
  <c r="AN192" i="7"/>
  <c r="AP195" i="7"/>
  <c r="L195" i="7"/>
  <c r="AQ202" i="7"/>
  <c r="AQ230" i="7"/>
  <c r="L232" i="7"/>
  <c r="AN232" i="7"/>
  <c r="AQ232" i="7" s="1"/>
  <c r="AQ242" i="7"/>
  <c r="AQ250" i="7"/>
  <c r="L266" i="7"/>
  <c r="AN266" i="7"/>
  <c r="AN300" i="7"/>
  <c r="AQ300" i="7" s="1"/>
  <c r="S298" i="7"/>
  <c r="L300" i="7"/>
  <c r="L327" i="7"/>
  <c r="AN327" i="7"/>
  <c r="AQ327" i="7" s="1"/>
  <c r="L174" i="7"/>
  <c r="L170" i="7" s="1"/>
  <c r="AN185" i="7"/>
  <c r="AQ194" i="7"/>
  <c r="L198" i="7"/>
  <c r="AN198" i="7"/>
  <c r="L207" i="7"/>
  <c r="AQ211" i="7"/>
  <c r="AQ221" i="7"/>
  <c r="AQ235" i="7"/>
  <c r="AQ244" i="7"/>
  <c r="AK249" i="7"/>
  <c r="AQ253" i="7"/>
  <c r="AP256" i="7"/>
  <c r="AQ256" i="7" s="1"/>
  <c r="AQ260" i="7"/>
  <c r="AE298" i="7"/>
  <c r="AS548" i="7"/>
  <c r="AN176" i="7"/>
  <c r="AQ176" i="7" s="1"/>
  <c r="AQ206" i="7"/>
  <c r="L213" i="7"/>
  <c r="AN213" i="7"/>
  <c r="AQ213" i="7" s="1"/>
  <c r="AQ214" i="7"/>
  <c r="AQ215" i="7"/>
  <c r="AQ246" i="7"/>
  <c r="AQ274" i="7"/>
  <c r="AQ278" i="7"/>
  <c r="AQ178" i="7"/>
  <c r="L189" i="7"/>
  <c r="L179" i="7" s="1"/>
  <c r="AN189" i="7"/>
  <c r="AQ189" i="7" s="1"/>
  <c r="AQ191" i="7"/>
  <c r="AQ195" i="7"/>
  <c r="L205" i="7"/>
  <c r="AN205" i="7"/>
  <c r="AQ205" i="7" s="1"/>
  <c r="AQ224" i="7"/>
  <c r="AQ228" i="7"/>
  <c r="AQ233" i="7"/>
  <c r="AQ239" i="7"/>
  <c r="AQ240" i="7"/>
  <c r="AQ252" i="7"/>
  <c r="AQ264" i="7"/>
  <c r="L183" i="7"/>
  <c r="AN183" i="7"/>
  <c r="AQ183" i="7" s="1"/>
  <c r="AQ186" i="7"/>
  <c r="AQ187" i="7"/>
  <c r="AQ192" i="7"/>
  <c r="AQ193" i="7"/>
  <c r="AK207" i="7"/>
  <c r="S249" i="7"/>
  <c r="AQ266" i="7"/>
  <c r="AP305" i="7"/>
  <c r="AQ305" i="7" s="1"/>
  <c r="L305" i="7"/>
  <c r="AQ336" i="7"/>
  <c r="L197" i="7"/>
  <c r="AN197" i="7"/>
  <c r="AQ198" i="7"/>
  <c r="Y243" i="7"/>
  <c r="AQ258" i="7"/>
  <c r="L260" i="7"/>
  <c r="AN260" i="7"/>
  <c r="AQ275" i="7"/>
  <c r="L336" i="7"/>
  <c r="AN336" i="7"/>
  <c r="L126" i="7"/>
  <c r="L132" i="7"/>
  <c r="L134" i="7"/>
  <c r="S146" i="7"/>
  <c r="AQ201" i="7"/>
  <c r="Y207" i="7"/>
  <c r="AQ219" i="7"/>
  <c r="AQ229" i="7"/>
  <c r="AP234" i="7"/>
  <c r="AQ234" i="7" s="1"/>
  <c r="L234" i="7"/>
  <c r="AQ241" i="7"/>
  <c r="L246" i="7"/>
  <c r="L243" i="7" s="1"/>
  <c r="L251" i="7"/>
  <c r="L249" i="7" s="1"/>
  <c r="AN251" i="7"/>
  <c r="AQ251" i="7" s="1"/>
  <c r="L256" i="7"/>
  <c r="L262" i="7"/>
  <c r="AN262" i="7"/>
  <c r="AQ262" i="7" s="1"/>
  <c r="AE309" i="7"/>
  <c r="AN239" i="7"/>
  <c r="AN247" i="7"/>
  <c r="AQ247" i="7" s="1"/>
  <c r="L248" i="7"/>
  <c r="L255" i="7"/>
  <c r="AN261" i="7"/>
  <c r="AQ261" i="7" s="1"/>
  <c r="AN263" i="7"/>
  <c r="AQ263" i="7" s="1"/>
  <c r="AN265" i="7"/>
  <c r="AQ265" i="7" s="1"/>
  <c r="AN275" i="7"/>
  <c r="Y298" i="7"/>
  <c r="L302" i="7"/>
  <c r="AP308" i="7"/>
  <c r="AP315" i="7"/>
  <c r="AQ321" i="7"/>
  <c r="AQ329" i="7"/>
  <c r="L338" i="7"/>
  <c r="AN338" i="7"/>
  <c r="AQ338" i="7" s="1"/>
  <c r="AQ340" i="7"/>
  <c r="AK347" i="7"/>
  <c r="AQ374" i="7"/>
  <c r="AQ375" i="7"/>
  <c r="AQ378" i="7"/>
  <c r="AQ385" i="7"/>
  <c r="AQ386" i="7"/>
  <c r="L402" i="7"/>
  <c r="AN402" i="7"/>
  <c r="AQ402" i="7" s="1"/>
  <c r="L217" i="7"/>
  <c r="L258" i="7"/>
  <c r="AP270" i="7"/>
  <c r="AQ270" i="7" s="1"/>
  <c r="AP292" i="7"/>
  <c r="L295" i="7"/>
  <c r="AN295" i="7"/>
  <c r="AQ295" i="7" s="1"/>
  <c r="AP310" i="7"/>
  <c r="AQ310" i="7" s="1"/>
  <c r="L310" i="7"/>
  <c r="L309" i="7" s="1"/>
  <c r="Y309" i="7"/>
  <c r="AQ312" i="7"/>
  <c r="AQ314" i="7"/>
  <c r="L317" i="7"/>
  <c r="L321" i="7"/>
  <c r="AN321" i="7"/>
  <c r="AQ323" i="7"/>
  <c r="L331" i="7"/>
  <c r="AN331" i="7"/>
  <c r="AQ331" i="7" s="1"/>
  <c r="AQ334" i="7"/>
  <c r="AQ342" i="7"/>
  <c r="AQ350" i="7"/>
  <c r="AQ351" i="7"/>
  <c r="AQ366" i="7"/>
  <c r="AN370" i="7"/>
  <c r="AQ370" i="7" s="1"/>
  <c r="L370" i="7"/>
  <c r="AP441" i="7"/>
  <c r="AQ441" i="7" s="1"/>
  <c r="L441" i="7"/>
  <c r="AD249" i="7"/>
  <c r="AP317" i="7"/>
  <c r="AQ363" i="7"/>
  <c r="Y376" i="7"/>
  <c r="AP376" i="7" s="1"/>
  <c r="AP378" i="7"/>
  <c r="AN395" i="7"/>
  <c r="AQ395" i="7" s="1"/>
  <c r="S393" i="7"/>
  <c r="AQ431" i="7"/>
  <c r="L289" i="7"/>
  <c r="AN289" i="7"/>
  <c r="AQ289" i="7" s="1"/>
  <c r="AQ308" i="7"/>
  <c r="AE361" i="7"/>
  <c r="AQ469" i="7"/>
  <c r="AP289" i="7"/>
  <c r="AQ292" i="7"/>
  <c r="AQ297" i="7"/>
  <c r="AQ301" i="7"/>
  <c r="L307" i="7"/>
  <c r="AP311" i="7"/>
  <c r="AQ311" i="7" s="1"/>
  <c r="AQ313" i="7"/>
  <c r="AQ322" i="7"/>
  <c r="AQ325" i="7"/>
  <c r="AQ328" i="7"/>
  <c r="AQ330" i="7"/>
  <c r="AQ348" i="7"/>
  <c r="AQ349" i="7"/>
  <c r="AQ364" i="7"/>
  <c r="AN425" i="7"/>
  <c r="L425" i="7"/>
  <c r="L423" i="7" s="1"/>
  <c r="S423" i="7"/>
  <c r="AN423" i="7" s="1"/>
  <c r="AQ423" i="7" s="1"/>
  <c r="AN212" i="7"/>
  <c r="AQ212" i="7" s="1"/>
  <c r="AN218" i="7"/>
  <c r="AQ218" i="7" s="1"/>
  <c r="AN227" i="7"/>
  <c r="AQ227" i="7" s="1"/>
  <c r="AN231" i="7"/>
  <c r="AN259" i="7"/>
  <c r="AN270" i="7"/>
  <c r="AQ277" i="7"/>
  <c r="L299" i="7"/>
  <c r="AP307" i="7"/>
  <c r="AQ318" i="7"/>
  <c r="S309" i="7"/>
  <c r="AN320" i="7"/>
  <c r="AQ320" i="7" s="1"/>
  <c r="AQ333" i="7"/>
  <c r="AQ339" i="7"/>
  <c r="L341" i="7"/>
  <c r="S332" i="7"/>
  <c r="AN341" i="7"/>
  <c r="AQ341" i="7" s="1"/>
  <c r="AQ355" i="7"/>
  <c r="AQ373" i="7"/>
  <c r="AQ389" i="7"/>
  <c r="AQ457" i="7"/>
  <c r="L236" i="7"/>
  <c r="L272" i="7"/>
  <c r="AQ280" i="7"/>
  <c r="AQ284" i="7"/>
  <c r="AP290" i="7"/>
  <c r="AQ290" i="7" s="1"/>
  <c r="L290" i="7"/>
  <c r="AQ296" i="7"/>
  <c r="AP299" i="7"/>
  <c r="AQ299" i="7" s="1"/>
  <c r="L303" i="7"/>
  <c r="AN303" i="7"/>
  <c r="AQ303" i="7" s="1"/>
  <c r="AQ306" i="7"/>
  <c r="AK309" i="7"/>
  <c r="AQ315" i="7"/>
  <c r="AP341" i="7"/>
  <c r="Y332" i="7"/>
  <c r="AK361" i="7"/>
  <c r="AP372" i="7"/>
  <c r="AQ372" i="7" s="1"/>
  <c r="AQ414" i="7"/>
  <c r="AQ420" i="7"/>
  <c r="AQ475" i="7"/>
  <c r="AQ344" i="7"/>
  <c r="AP348" i="7"/>
  <c r="L348" i="7"/>
  <c r="L347" i="7" s="1"/>
  <c r="Y347" i="7"/>
  <c r="AQ354" i="7"/>
  <c r="L384" i="7"/>
  <c r="AN384" i="7"/>
  <c r="AQ384" i="7" s="1"/>
  <c r="AQ390" i="7"/>
  <c r="AQ397" i="7"/>
  <c r="AQ405" i="7"/>
  <c r="L407" i="7"/>
  <c r="AN407" i="7"/>
  <c r="AQ442" i="7"/>
  <c r="L454" i="7"/>
  <c r="AP454" i="7"/>
  <c r="L484" i="7"/>
  <c r="AN484" i="7"/>
  <c r="L485" i="7"/>
  <c r="AN485" i="7"/>
  <c r="L486" i="7"/>
  <c r="AN486" i="7"/>
  <c r="L487" i="7"/>
  <c r="AN487" i="7"/>
  <c r="AQ487" i="7" s="1"/>
  <c r="AQ515" i="7"/>
  <c r="AP530" i="7"/>
  <c r="AQ530" i="7" s="1"/>
  <c r="L530" i="7"/>
  <c r="AN312" i="7"/>
  <c r="L313" i="7"/>
  <c r="L322" i="7"/>
  <c r="AN326" i="7"/>
  <c r="AQ326" i="7" s="1"/>
  <c r="AN328" i="7"/>
  <c r="L329" i="7"/>
  <c r="AN337" i="7"/>
  <c r="AQ337" i="7" s="1"/>
  <c r="AN339" i="7"/>
  <c r="AQ352" i="7"/>
  <c r="L354" i="7"/>
  <c r="AQ365" i="7"/>
  <c r="AN369" i="7"/>
  <c r="AQ369" i="7" s="1"/>
  <c r="L386" i="7"/>
  <c r="AN386" i="7"/>
  <c r="S387" i="7"/>
  <c r="L389" i="7"/>
  <c r="L387" i="7" s="1"/>
  <c r="AN389" i="7"/>
  <c r="AQ392" i="7"/>
  <c r="AP395" i="7"/>
  <c r="Y393" i="7"/>
  <c r="AE409" i="7"/>
  <c r="L420" i="7"/>
  <c r="AN420" i="7"/>
  <c r="AP429" i="7"/>
  <c r="L429" i="7"/>
  <c r="AQ435" i="7"/>
  <c r="L469" i="7"/>
  <c r="AN469" i="7"/>
  <c r="L477" i="7"/>
  <c r="AN477" i="7"/>
  <c r="L478" i="7"/>
  <c r="AN478" i="7"/>
  <c r="L507" i="7"/>
  <c r="AN507" i="7"/>
  <c r="AQ507" i="7" s="1"/>
  <c r="L509" i="7"/>
  <c r="AN509" i="7"/>
  <c r="AQ509" i="7" s="1"/>
  <c r="AN343" i="7"/>
  <c r="AQ343" i="7" s="1"/>
  <c r="L359" i="7"/>
  <c r="AP362" i="7"/>
  <c r="AQ362" i="7" s="1"/>
  <c r="L362" i="7"/>
  <c r="Y361" i="7"/>
  <c r="AP379" i="7"/>
  <c r="AQ379" i="7" s="1"/>
  <c r="AQ380" i="7"/>
  <c r="L396" i="7"/>
  <c r="L404" i="7"/>
  <c r="AN404" i="7"/>
  <c r="AQ404" i="7" s="1"/>
  <c r="L411" i="7"/>
  <c r="AN411" i="7"/>
  <c r="AQ411" i="7" s="1"/>
  <c r="AQ425" i="7"/>
  <c r="AQ438" i="7"/>
  <c r="AQ439" i="7"/>
  <c r="AQ445" i="7"/>
  <c r="AN450" i="7"/>
  <c r="AQ450" i="7" s="1"/>
  <c r="Y503" i="7"/>
  <c r="AP506" i="7"/>
  <c r="AN307" i="7"/>
  <c r="AQ307" i="7" s="1"/>
  <c r="AN315" i="7"/>
  <c r="AN317" i="7"/>
  <c r="AQ317" i="7" s="1"/>
  <c r="L325" i="7"/>
  <c r="L333" i="7"/>
  <c r="L332" i="7" s="1"/>
  <c r="L334" i="7"/>
  <c r="S347" i="7"/>
  <c r="AP365" i="7"/>
  <c r="AE387" i="7"/>
  <c r="AK393" i="7"/>
  <c r="AP396" i="7"/>
  <c r="AQ401" i="7"/>
  <c r="L413" i="7"/>
  <c r="AN413" i="7"/>
  <c r="AQ421" i="7"/>
  <c r="L439" i="7"/>
  <c r="AN439" i="7"/>
  <c r="AQ446" i="7"/>
  <c r="AQ452" i="7"/>
  <c r="AK455" i="7"/>
  <c r="AQ463" i="7"/>
  <c r="AQ483" i="7"/>
  <c r="AQ498" i="7"/>
  <c r="L345" i="7"/>
  <c r="AN353" i="7"/>
  <c r="AQ353" i="7" s="1"/>
  <c r="S361" i="7"/>
  <c r="L372" i="7"/>
  <c r="L380" i="7"/>
  <c r="L391" i="7"/>
  <c r="AN391" i="7"/>
  <c r="AQ391" i="7" s="1"/>
  <c r="AE393" i="7"/>
  <c r="AP413" i="7"/>
  <c r="AQ413" i="7" s="1"/>
  <c r="Y409" i="7"/>
  <c r="AQ422" i="7"/>
  <c r="AQ429" i="7"/>
  <c r="AP433" i="7"/>
  <c r="AD430" i="7"/>
  <c r="AE436" i="7"/>
  <c r="AQ448" i="7"/>
  <c r="AQ454" i="7"/>
  <c r="AQ458" i="7"/>
  <c r="AN460" i="7"/>
  <c r="AQ474" i="7"/>
  <c r="AQ500" i="7"/>
  <c r="AQ346" i="7"/>
  <c r="AQ356" i="7"/>
  <c r="L367" i="7"/>
  <c r="L374" i="7"/>
  <c r="S376" i="7"/>
  <c r="AN376" i="7" s="1"/>
  <c r="L377" i="7"/>
  <c r="L382" i="7"/>
  <c r="AN382" i="7"/>
  <c r="AQ382" i="7" s="1"/>
  <c r="AQ403" i="7"/>
  <c r="AK409" i="7"/>
  <c r="L415" i="7"/>
  <c r="AN415" i="7"/>
  <c r="AQ415" i="7" s="1"/>
  <c r="L418" i="7"/>
  <c r="AN418" i="7"/>
  <c r="AQ418" i="7" s="1"/>
  <c r="AP443" i="7"/>
  <c r="AQ443" i="7" s="1"/>
  <c r="L443" i="7"/>
  <c r="L462" i="7"/>
  <c r="AP462" i="7"/>
  <c r="AQ462" i="7" s="1"/>
  <c r="L472" i="7"/>
  <c r="L455" i="7" s="1"/>
  <c r="AN472" i="7"/>
  <c r="AQ472" i="7" s="1"/>
  <c r="L474" i="7"/>
  <c r="AN474" i="7"/>
  <c r="AQ476" i="7"/>
  <c r="AP494" i="7"/>
  <c r="AP367" i="7"/>
  <c r="AQ367" i="7" s="1"/>
  <c r="AQ368" i="7"/>
  <c r="AP377" i="7"/>
  <c r="AQ377" i="7" s="1"/>
  <c r="AK387" i="7"/>
  <c r="L400" i="7"/>
  <c r="AN400" i="7"/>
  <c r="AQ400" i="7" s="1"/>
  <c r="AP406" i="7"/>
  <c r="AQ406" i="7" s="1"/>
  <c r="L406" i="7"/>
  <c r="AQ407" i="7"/>
  <c r="AQ417" i="7"/>
  <c r="L453" i="7"/>
  <c r="AP453" i="7"/>
  <c r="AP528" i="7"/>
  <c r="AQ528" i="7" s="1"/>
  <c r="L528" i="7"/>
  <c r="AQ538" i="7"/>
  <c r="L490" i="7"/>
  <c r="AN490" i="7"/>
  <c r="AQ501" i="7"/>
  <c r="AQ504" i="7"/>
  <c r="AP520" i="7"/>
  <c r="AQ520" i="7" s="1"/>
  <c r="L520" i="7"/>
  <c r="AQ523" i="7"/>
  <c r="AP534" i="7"/>
  <c r="L534" i="7"/>
  <c r="AQ537" i="7"/>
  <c r="AN396" i="7"/>
  <c r="AQ396" i="7" s="1"/>
  <c r="AN416" i="7"/>
  <c r="AQ416" i="7" s="1"/>
  <c r="L419" i="7"/>
  <c r="AQ428" i="7"/>
  <c r="L438" i="7"/>
  <c r="Y455" i="7"/>
  <c r="AN471" i="7"/>
  <c r="AQ471" i="7" s="1"/>
  <c r="AN476" i="7"/>
  <c r="AQ477" i="7"/>
  <c r="AQ478" i="7"/>
  <c r="AN483" i="7"/>
  <c r="AQ484" i="7"/>
  <c r="AQ485" i="7"/>
  <c r="AQ495" i="7"/>
  <c r="AP500" i="7"/>
  <c r="L500" i="7"/>
  <c r="AN505" i="7"/>
  <c r="AQ505" i="7" s="1"/>
  <c r="AQ506" i="7"/>
  <c r="AK517" i="7"/>
  <c r="AP522" i="7"/>
  <c r="L522" i="7"/>
  <c r="AQ525" i="7"/>
  <c r="AP536" i="7"/>
  <c r="AQ536" i="7" s="1"/>
  <c r="L536" i="7"/>
  <c r="M39" i="8"/>
  <c r="L417" i="7"/>
  <c r="AN417" i="7"/>
  <c r="L421" i="7"/>
  <c r="AQ432" i="7"/>
  <c r="AQ459" i="7"/>
  <c r="L467" i="7"/>
  <c r="AQ486" i="7"/>
  <c r="AP524" i="7"/>
  <c r="AQ524" i="7" s="1"/>
  <c r="L524" i="7"/>
  <c r="AP538" i="7"/>
  <c r="L538" i="7"/>
  <c r="AQ542" i="7"/>
  <c r="AP431" i="7"/>
  <c r="AQ453" i="7"/>
  <c r="L481" i="7"/>
  <c r="S480" i="7"/>
  <c r="AN480" i="7" s="1"/>
  <c r="AQ480" i="7" s="1"/>
  <c r="AQ489" i="7"/>
  <c r="Y492" i="7"/>
  <c r="AQ494" i="7"/>
  <c r="AQ502" i="7"/>
  <c r="AQ511" i="7"/>
  <c r="L516" i="7"/>
  <c r="AQ527" i="7"/>
  <c r="AQ534" i="7"/>
  <c r="AQ544" i="7"/>
  <c r="E39" i="8"/>
  <c r="F41" i="8" s="1"/>
  <c r="L5" i="8"/>
  <c r="L39" i="8" s="1"/>
  <c r="M41" i="8" s="1"/>
  <c r="J16" i="8"/>
  <c r="Y423" i="7"/>
  <c r="L427" i="7"/>
  <c r="AQ460" i="7"/>
  <c r="AQ461" i="7"/>
  <c r="AQ465" i="7"/>
  <c r="Y480" i="7"/>
  <c r="L482" i="7"/>
  <c r="AN482" i="7"/>
  <c r="AQ482" i="7" s="1"/>
  <c r="AE492" i="7"/>
  <c r="AQ497" i="7"/>
  <c r="L502" i="7"/>
  <c r="L504" i="7"/>
  <c r="AQ513" i="7"/>
  <c r="AQ522" i="7"/>
  <c r="AQ529" i="7"/>
  <c r="AQ546" i="7"/>
  <c r="J20" i="8"/>
  <c r="J24" i="8"/>
  <c r="J28" i="8"/>
  <c r="J32" i="8"/>
  <c r="J36" i="8"/>
  <c r="L383" i="7"/>
  <c r="L385" i="7"/>
  <c r="L394" i="7"/>
  <c r="L410" i="7"/>
  <c r="L412" i="7"/>
  <c r="AQ419" i="7"/>
  <c r="AQ424" i="7"/>
  <c r="AQ433" i="7"/>
  <c r="AN449" i="7"/>
  <c r="AQ449" i="7" s="1"/>
  <c r="AQ451" i="7"/>
  <c r="S455" i="7"/>
  <c r="AN455" i="7" s="1"/>
  <c r="AQ456" i="7"/>
  <c r="S473" i="7"/>
  <c r="AN473" i="7" s="1"/>
  <c r="AQ473" i="7" s="1"/>
  <c r="L488" i="7"/>
  <c r="AN488" i="7"/>
  <c r="AQ488" i="7" s="1"/>
  <c r="AQ490" i="7"/>
  <c r="AP498" i="7"/>
  <c r="L498" i="7"/>
  <c r="L492" i="7" s="1"/>
  <c r="AP518" i="7"/>
  <c r="AQ518" i="7" s="1"/>
  <c r="L518" i="7"/>
  <c r="AQ521" i="7"/>
  <c r="AQ526" i="7"/>
  <c r="AP532" i="7"/>
  <c r="AQ532" i="7" s="1"/>
  <c r="L532" i="7"/>
  <c r="AQ535" i="7"/>
  <c r="AP539" i="7"/>
  <c r="AQ539" i="7" s="1"/>
  <c r="L539" i="7"/>
  <c r="I39" i="8"/>
  <c r="J6" i="8"/>
  <c r="J10" i="8"/>
  <c r="J14" i="8"/>
  <c r="J5" i="8"/>
  <c r="AN457" i="7"/>
  <c r="AN468" i="7"/>
  <c r="AQ468" i="7" s="1"/>
  <c r="AN470" i="7"/>
  <c r="AQ470" i="7" s="1"/>
  <c r="AN475" i="7"/>
  <c r="AP481" i="7"/>
  <c r="AQ481" i="7" s="1"/>
  <c r="Y430" i="7"/>
  <c r="L475" i="7"/>
  <c r="AN504" i="7"/>
  <c r="AN506" i="7"/>
  <c r="AN508" i="7"/>
  <c r="AQ508" i="7" s="1"/>
  <c r="AN510" i="7"/>
  <c r="AQ510" i="7" s="1"/>
  <c r="AN512" i="7"/>
  <c r="AQ512" i="7" s="1"/>
  <c r="AN514" i="7"/>
  <c r="AQ514" i="7" s="1"/>
  <c r="AN516" i="7"/>
  <c r="AQ516" i="7" s="1"/>
  <c r="S503" i="7"/>
  <c r="AN503" i="7" s="1"/>
  <c r="AQ503" i="7" s="1"/>
  <c r="AN546" i="7"/>
  <c r="F108" i="6" l="1"/>
  <c r="L436" i="7"/>
  <c r="L430" i="7" s="1"/>
  <c r="AP436" i="7"/>
  <c r="AQ436" i="7" s="1"/>
  <c r="AE430" i="7"/>
  <c r="F478" i="6"/>
  <c r="F386" i="6"/>
  <c r="F153" i="6"/>
  <c r="F169" i="6"/>
  <c r="AK405" i="6"/>
  <c r="L517" i="7"/>
  <c r="L298" i="7"/>
  <c r="Y446" i="6"/>
  <c r="L30" i="7"/>
  <c r="F239" i="6"/>
  <c r="F83" i="6"/>
  <c r="F161" i="6"/>
  <c r="AK325" i="6"/>
  <c r="L503" i="7"/>
  <c r="L105" i="7"/>
  <c r="F545" i="6"/>
  <c r="AK386" i="6"/>
  <c r="F464" i="6"/>
  <c r="F308" i="6"/>
  <c r="F96" i="6"/>
  <c r="L409" i="7"/>
  <c r="AJ328" i="6"/>
  <c r="AK328" i="6" s="1"/>
  <c r="F328" i="6"/>
  <c r="F331" i="6" s="1"/>
  <c r="AK408" i="6"/>
  <c r="F63" i="6"/>
  <c r="L393" i="7"/>
  <c r="F471" i="6"/>
  <c r="F421" i="6"/>
  <c r="Y331" i="6"/>
  <c r="F278" i="6"/>
  <c r="F137" i="6"/>
  <c r="AJ16" i="6"/>
  <c r="AK16" i="6" s="1"/>
  <c r="L361" i="7"/>
  <c r="L480" i="7"/>
  <c r="L128" i="7"/>
  <c r="L376" i="7"/>
  <c r="J39" i="8"/>
  <c r="L473" i="7"/>
  <c r="AQ376" i="7"/>
  <c r="L288" i="7"/>
  <c r="L154" i="7"/>
  <c r="AK424" i="6"/>
  <c r="AK384" i="6"/>
  <c r="F197" i="6"/>
  <c r="Y29" i="6"/>
  <c r="M517" i="7"/>
  <c r="Z517" i="7"/>
  <c r="T5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11" authorId="0" shapeId="0" xr:uid="{00000000-0006-0000-0600-000001000000}">
      <text>
        <r>
          <rPr>
            <sz val="11"/>
            <color theme="1"/>
            <rFont val="Calibri"/>
            <scheme val="minor"/>
          </rPr>
          <t>======
ID#AAAB0DUOOm4
    (2026-02-10 01:29:42)
Provinsi Papua Barat Daya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9QamAv+oGp68MzP0LTfSCClQ15A=="/>
    </ext>
  </extLst>
</comments>
</file>

<file path=xl/sharedStrings.xml><?xml version="1.0" encoding="utf-8"?>
<sst xmlns="http://schemas.openxmlformats.org/spreadsheetml/2006/main" count="12936" uniqueCount="2536">
  <si>
    <t>No</t>
  </si>
  <si>
    <t>Uraian</t>
  </si>
  <si>
    <t>Jumlah (Kab/Kota)</t>
  </si>
  <si>
    <t>Luas Penetapan (Ha)</t>
  </si>
  <si>
    <t>LBS 2019 (Ha)</t>
  </si>
  <si>
    <t>LBS 2024 (Ha)</t>
  </si>
  <si>
    <t>Capaian Penetapan LBS 2019 menjadi KP2B, LP2B, dan/atau LCP2B</t>
  </si>
  <si>
    <t>Capaian Penetapan LBS 2024 diluar KH dan Izin menjadi KP2B, LP2B, dan/atau LCP2B</t>
  </si>
  <si>
    <t>dalam KH dan Perizinan</t>
  </si>
  <si>
    <t>diluar KH dan Perizinan</t>
  </si>
  <si>
    <t>Total</t>
  </si>
  <si>
    <t>LBS ditetapkan PLP2B</t>
  </si>
  <si>
    <t>LBS tidak ditetapkan PLP2B</t>
  </si>
  <si>
    <t>Penetapan PLP2B diluar LBS</t>
  </si>
  <si>
    <t>Kab/Kota yang telah menetapkan K/LP2B melalui Perda RTRW / Perda LP2B</t>
  </si>
  <si>
    <t xml:space="preserve">a. Perda RTRW/LP2B didukung data spasial </t>
  </si>
  <si>
    <t>b. Perda RTRW/LP2B tanpa didukung data spasial</t>
  </si>
  <si>
    <t>Perda RTRW/LP2B tanpa penetapan luasan LP2B</t>
  </si>
  <si>
    <t>Kab/Kota yang tidak ada data RTRW/LP2B*</t>
  </si>
  <si>
    <t>Catatan : Luas LBS yang ditetapkan menjadi LP2B hanya dapat terhitung pada penetapan yang berbasis spasial</t>
  </si>
  <si>
    <t>*Kementerian Pertanian belum memiliki dokumen</t>
  </si>
  <si>
    <t>**LBS diluar Kawasan Hutan (KH) dan Perizinan</t>
  </si>
  <si>
    <t>***Penetapan tanpa didukung data spasial memiliki makna (1) spasial tidak tercatat di Dit. POL atau (2) Penetapan Regulasi PLP2B tanpa penetapan secara spasial</t>
  </si>
  <si>
    <t>[PLP2B mencakup Penetapan LP2B dalam Perda RTRW, Perda LP2B, Perkada, SK Kepala Daerah]</t>
  </si>
  <si>
    <t xml:space="preserve">CAPAIAN PENETAPAN LBS KEDALAM LP2B TRIWULAN I TAHUN 2026 MENURUT PROVINSI </t>
  </si>
  <si>
    <t>Provinsi</t>
  </si>
  <si>
    <t>Jumlah Kab/Kota</t>
  </si>
  <si>
    <t>LBS (Ha)</t>
  </si>
  <si>
    <t xml:space="preserve"> Penetapan LP2B</t>
  </si>
  <si>
    <t>didalam KH dan Perizinan</t>
  </si>
  <si>
    <t>Kab/Kota yang menetapkan LP2B (DS + D)</t>
  </si>
  <si>
    <t xml:space="preserve">LBS </t>
  </si>
  <si>
    <t>Total PLP2B</t>
  </si>
  <si>
    <t>DS + D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</si>
  <si>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</si>
  <si>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</si>
  <si>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</si>
  <si>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</si>
  <si>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</si>
  <si>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</si>
  <si>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</si>
  <si>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</si>
  <si>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</si>
  <si>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</si>
  <si>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Banten</t>
  </si>
  <si>
    <t>DKI Jakarta</t>
  </si>
  <si>
    <t>Jawa Barat</t>
  </si>
  <si>
    <t>Jawa Tengah</t>
  </si>
  <si>
    <t>Di Yogyakarta</t>
  </si>
  <si>
    <t>Jawa Timur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</si>
  <si>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</si>
  <si>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</si>
  <si>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</si>
  <si>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</si>
  <si>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</si>
  <si>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</si>
  <si>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</si>
  <si>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</si>
  <si>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</si>
  <si>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</si>
  <si>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</si>
  <si>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</si>
  <si>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</si>
  <si>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</si>
  <si>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</si>
  <si>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</si>
  <si>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</si>
  <si>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</si>
  <si>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 Pegunungan</t>
  </si>
  <si>
    <t>Papua Selatan</t>
  </si>
  <si>
    <t>Papua Tengah</t>
  </si>
  <si>
    <t>Papua</t>
  </si>
  <si>
    <t>% LBS yang ditetapkan menjadi LP2B</t>
  </si>
  <si>
    <t>Keterangan: DS = Data Spasial dan D = Tanpa Data Spasial</t>
  </si>
  <si>
    <t>CAPAIAN PENETAPAN LBS KEDALAM LP2B TRIWULAN I TAHUN 2026 MENURUT KABUPATEN/KOTA</t>
  </si>
  <si>
    <t>aba</t>
  </si>
  <si>
    <t>Pase</t>
  </si>
  <si>
    <t>Kabupaten</t>
  </si>
  <si>
    <t>LBS 2024</t>
  </si>
  <si>
    <t xml:space="preserve">Penetapan </t>
  </si>
  <si>
    <t>Penetapan LP2B (Ha)</t>
  </si>
  <si>
    <t>Regulasi</t>
  </si>
  <si>
    <t>dalam KH dan Izin</t>
  </si>
  <si>
    <t>Diluar KH dan Izin</t>
  </si>
  <si>
    <t>Ket</t>
  </si>
  <si>
    <t>Luas (Ha)</t>
  </si>
  <si>
    <t>Dengan Spasial</t>
  </si>
  <si>
    <t>Tanpa Spasial</t>
  </si>
  <si>
    <t>Jenis</t>
  </si>
  <si>
    <t>Nomor Regulasi</t>
  </si>
  <si>
    <t>Aceh Barat</t>
  </si>
  <si>
    <t>DS</t>
  </si>
  <si>
    <t>Perkada LP2B</t>
  </si>
  <si>
    <t>Perbup No. 44 Tahun 2020</t>
  </si>
  <si>
    <t>Aceh Barat Daya</t>
  </si>
  <si>
    <t>Perbup No. 13 Tahun 2020</t>
  </si>
  <si>
    <t>Aceh Besar</t>
  </si>
  <si>
    <t>SK LP2B</t>
  </si>
  <si>
    <t>SK No 610 Tahun 2022</t>
  </si>
  <si>
    <t>Aceh Jaya</t>
  </si>
  <si>
    <t>SK No. 188.342/387/2023</t>
  </si>
  <si>
    <t>Aceh Selatan</t>
  </si>
  <si>
    <t>Perbup No. 41 Tahun 2021</t>
  </si>
  <si>
    <t>Aceh Singkil</t>
  </si>
  <si>
    <t>D</t>
  </si>
  <si>
    <t>Perbup No. 188.354/42/2020</t>
  </si>
  <si>
    <t>Aceh Tamiang</t>
  </si>
  <si>
    <t>SK No. 45/1015/2023</t>
  </si>
  <si>
    <t>Aceh Tengah</t>
  </si>
  <si>
    <t>Aceh Tenggara</t>
  </si>
  <si>
    <t>SK No. 421.8/30/2024</t>
  </si>
  <si>
    <t>Aceh Timur</t>
  </si>
  <si>
    <t>SK No .521.5/483/2022</t>
  </si>
  <si>
    <t>Aceh Utara</t>
  </si>
  <si>
    <t>SK No. 521/890/2022</t>
  </si>
  <si>
    <t>Bener Meriah</t>
  </si>
  <si>
    <t>Perda RTRW</t>
  </si>
  <si>
    <t>Qanun No. 4 Tahun 2013</t>
  </si>
  <si>
    <t>Bireuen</t>
  </si>
  <si>
    <t xml:space="preserve">SK No. 650 Tahun 2022 </t>
  </si>
  <si>
    <t>Gayo Lues</t>
  </si>
  <si>
    <t>Perbup No. 41 tahun 2021</t>
  </si>
  <si>
    <t>Kota Banda Aceh</t>
  </si>
  <si>
    <t>TD</t>
  </si>
  <si>
    <t>Qanun No. 2 Tahun 2018</t>
  </si>
  <si>
    <t>Kota Langsa</t>
  </si>
  <si>
    <t>Perda LP2B</t>
  </si>
  <si>
    <t>Qanun No. 6 tahun 2021</t>
  </si>
  <si>
    <t>Kota Lhokseumawe</t>
  </si>
  <si>
    <t>Qanun No. 2 Tahun 2024</t>
  </si>
  <si>
    <t>Kota Sabang</t>
  </si>
  <si>
    <t>Qanun No. 6 Tahun 2012</t>
  </si>
  <si>
    <t>Kota Subulussalam</t>
  </si>
  <si>
    <t>Qanun No. 3 tahun 2014</t>
  </si>
  <si>
    <t>Nagan Raya</t>
  </si>
  <si>
    <t>SK No. 500.6.4.3/484/Kpts/2023</t>
  </si>
  <si>
    <t>Pidie</t>
  </si>
  <si>
    <t>SK No. 520/805/KEP.30/2022</t>
  </si>
  <si>
    <t>Pidie Jaya</t>
  </si>
  <si>
    <t>SK No. 388 Tahun 2023</t>
  </si>
  <si>
    <t>Simeulue</t>
  </si>
  <si>
    <t>Perbup No 43 Tahun 2020</t>
  </si>
  <si>
    <t>Asahan</t>
  </si>
  <si>
    <t>Perda No. 12 Tahun 2013</t>
  </si>
  <si>
    <t>Batu Bara</t>
  </si>
  <si>
    <t>Perda No. 11 Tahun 2020</t>
  </si>
  <si>
    <t>Dairi</t>
  </si>
  <si>
    <t>Perda No. 7 Tahun 2014</t>
  </si>
  <si>
    <t>Deli Serdang</t>
  </si>
  <si>
    <t>Perda No. 1 Tahun 2021</t>
  </si>
  <si>
    <t>Humbang Hasundutan</t>
  </si>
  <si>
    <t>Perda No. 1 Tahun 2018</t>
  </si>
  <si>
    <t>Karo</t>
  </si>
  <si>
    <t>Perda No. 4 Tahun 2022</t>
  </si>
  <si>
    <t>Kota Binjai</t>
  </si>
  <si>
    <t>Perda No. 5 Tahun 2020</t>
  </si>
  <si>
    <t>Kota Gunungsitoli</t>
  </si>
  <si>
    <t>Perda No.12 Tahun 2012</t>
  </si>
  <si>
    <t>Kota Medan</t>
  </si>
  <si>
    <t>Perda No. 1 Tahun 2022</t>
  </si>
  <si>
    <t>Kota Padang Sidempuan</t>
  </si>
  <si>
    <t>Perda No. 2 Tahun 2022</t>
  </si>
  <si>
    <t>Kota Pematangsiantar</t>
  </si>
  <si>
    <t>Permen ATR/BPN 4 Tahun 2024</t>
  </si>
  <si>
    <t>Kota Sibolga</t>
  </si>
  <si>
    <t>Perda No.2 Tahun 2018</t>
  </si>
  <si>
    <t>Kota Tanjung Balai</t>
  </si>
  <si>
    <t>Perda No. 2 Tahun 2013</t>
  </si>
  <si>
    <t>Kota Tebing Tinggi</t>
  </si>
  <si>
    <t>Perda No. 3 tahun 2021</t>
  </si>
  <si>
    <t>Labuhanbatu</t>
  </si>
  <si>
    <t>SK No. 520/281/DIPERTA/2023</t>
  </si>
  <si>
    <t>Labuhanbatu Selatan</t>
  </si>
  <si>
    <t>Perda No. 4 Tahun 2017</t>
  </si>
  <si>
    <t>Labuhanbatu Utara</t>
  </si>
  <si>
    <t>Perda No. 5 Tahun 2015</t>
  </si>
  <si>
    <t>Langkat</t>
  </si>
  <si>
    <t>SK No. 520-25/K/2021</t>
  </si>
  <si>
    <t>Mandailing Natal</t>
  </si>
  <si>
    <t>SK No. 521/0252/K/2022</t>
  </si>
  <si>
    <t>Nias</t>
  </si>
  <si>
    <t>Perbup No. 10 Tahun 2023</t>
  </si>
  <si>
    <t>Nias Barat</t>
  </si>
  <si>
    <t>Perda No. 1 Tahun 2023</t>
  </si>
  <si>
    <t>Nias Selatan</t>
  </si>
  <si>
    <t>Perda No. 6 Tahun 2014</t>
  </si>
  <si>
    <t>Nias Utara</t>
  </si>
  <si>
    <t>Perda No. 2 Tahun 2019</t>
  </si>
  <si>
    <t>Padang Lawas</t>
  </si>
  <si>
    <t>Perda No. 2 Tahun 2018</t>
  </si>
  <si>
    <t>Padang Lawas Utara</t>
  </si>
  <si>
    <t>Perda No. 2 tahun 2019</t>
  </si>
  <si>
    <t>Pakpak Bharat</t>
  </si>
  <si>
    <t>Perda No. 9 Tahun 2016</t>
  </si>
  <si>
    <t>Samosir</t>
  </si>
  <si>
    <t>Perbup No. 56 Tahun 2022</t>
  </si>
  <si>
    <t>Serdang Bedagai</t>
  </si>
  <si>
    <t>Simalungun</t>
  </si>
  <si>
    <t>Perda No. 10 Tahun 2012</t>
  </si>
  <si>
    <t>Tapanuli Selatan</t>
  </si>
  <si>
    <t>Perda No. 5 Tahun 2017</t>
  </si>
  <si>
    <t>Tapanuli Tengah</t>
  </si>
  <si>
    <t>SK No. 2675/Distan/2021</t>
  </si>
  <si>
    <t>Tapanuli Utara</t>
  </si>
  <si>
    <t>SK No. 843 Tahun 2023</t>
  </si>
  <si>
    <t>Toba</t>
  </si>
  <si>
    <t>SK No. 724 Tahun 2023</t>
  </si>
  <si>
    <t>Agam</t>
  </si>
  <si>
    <t>SK No. 12 Tahun 2020</t>
  </si>
  <si>
    <t>Dharmasraya</t>
  </si>
  <si>
    <t>Perda No.18 Tahun 2018</t>
  </si>
  <si>
    <t>Kepulauan Mentawai</t>
  </si>
  <si>
    <t>Perda No. 3 Tahun 2015</t>
  </si>
  <si>
    <t>Kota Bukittinggi</t>
  </si>
  <si>
    <t>Perda No. 11 Tahun 2017</t>
  </si>
  <si>
    <t>Kota Padang</t>
  </si>
  <si>
    <t>Perda No. 3 Tahun 2019</t>
  </si>
  <si>
    <t>Kota Padang Panjang</t>
  </si>
  <si>
    <t>Perda No. 4 Tahun 2021</t>
  </si>
  <si>
    <t>Kota Pariaman</t>
  </si>
  <si>
    <t>Perda No. 5 Tahun 2022</t>
  </si>
  <si>
    <t>Kota Payakumbuh</t>
  </si>
  <si>
    <t>Kota Sawahlunto</t>
  </si>
  <si>
    <t>Perda No. 8 Tahun 2012</t>
  </si>
  <si>
    <t>Kota Solok</t>
  </si>
  <si>
    <t>Perda No. 2 Tahun 2024</t>
  </si>
  <si>
    <t>Lima Puluh Kota</t>
  </si>
  <si>
    <t>Perda No. 4 Tahun 2023</t>
  </si>
  <si>
    <t>Padang Pariaman</t>
  </si>
  <si>
    <t>Pasaman</t>
  </si>
  <si>
    <t>SK No. 188.45/170/BUP-PAS/2023</t>
  </si>
  <si>
    <t>Pasaman Barat</t>
  </si>
  <si>
    <t>SK No. 188.45/728/BUP-PASBAR/2021</t>
  </si>
  <si>
    <t>Pesisir Selatan</t>
  </si>
  <si>
    <t>Perda No. 6 Tahun 2021</t>
  </si>
  <si>
    <t>Sijunjung</t>
  </si>
  <si>
    <t>SK No. 188.45/519/KPTS-BPT-2021</t>
  </si>
  <si>
    <t>Solok</t>
  </si>
  <si>
    <t>Perbup No. 51 Tahun 2023</t>
  </si>
  <si>
    <t>Solok Selatan</t>
  </si>
  <si>
    <t>Tanah Datar</t>
  </si>
  <si>
    <t>Bengkalis</t>
  </si>
  <si>
    <t>Indragiri Hilir</t>
  </si>
  <si>
    <t>Perda No. 2 Tahun 2021</t>
  </si>
  <si>
    <t>Indragiri Hulu</t>
  </si>
  <si>
    <t>Kampar</t>
  </si>
  <si>
    <t>Perda No. 11 tahun 2019</t>
  </si>
  <si>
    <t>Kepulauan Meranti</t>
  </si>
  <si>
    <t>Perda No. 8 Tahun 2020</t>
  </si>
  <si>
    <t>Kota Dumai</t>
  </si>
  <si>
    <t>Perda No. 15 tahun 2019</t>
  </si>
  <si>
    <t>Kota Pekanbaru</t>
  </si>
  <si>
    <t>Perda No. 7 Tahun 2020</t>
  </si>
  <si>
    <t>Kuantan Singingi</t>
  </si>
  <si>
    <t>Perda No 1 Tahun 2004</t>
  </si>
  <si>
    <t>Pelalawan</t>
  </si>
  <si>
    <t>Perda No. 7 Tahun 2019</t>
  </si>
  <si>
    <t>Rokan Hilir</t>
  </si>
  <si>
    <t>Perda No. 2 Tahun 2016</t>
  </si>
  <si>
    <t>Rokan Hulu</t>
  </si>
  <si>
    <t>Perda No. 1 tahun 2020</t>
  </si>
  <si>
    <t>Siak</t>
  </si>
  <si>
    <t>Perda No. 1 Tahun 2020</t>
  </si>
  <si>
    <t>Bintan</t>
  </si>
  <si>
    <t>Karimun</t>
  </si>
  <si>
    <t>Perda No. 3 Tahun 2021</t>
  </si>
  <si>
    <t>Kepulauan Anambas</t>
  </si>
  <si>
    <t>Perda No. 3 Tahun 2023</t>
  </si>
  <si>
    <t>Kota Batam</t>
  </si>
  <si>
    <t>Kota Tanjung Pinang</t>
  </si>
  <si>
    <t>Perda No. 10 Tahun 2014</t>
  </si>
  <si>
    <t>Lingga</t>
  </si>
  <si>
    <t>Natuna</t>
  </si>
  <si>
    <t>Perda 18 Tahun 2021</t>
  </si>
  <si>
    <t>Batanghari</t>
  </si>
  <si>
    <t>SK No. 440 Tahun 2023</t>
  </si>
  <si>
    <t>Bungo</t>
  </si>
  <si>
    <t>SK Bupati No.100/TPHBun Tahun 2021</t>
  </si>
  <si>
    <t>Kerinci</t>
  </si>
  <si>
    <t>Perda No. 24 Tahun 2012</t>
  </si>
  <si>
    <t>Kota Jambi</t>
  </si>
  <si>
    <t>Perda No. 5 Tahun 2024</t>
  </si>
  <si>
    <t>Kota Sungai Penuh</t>
  </si>
  <si>
    <t>2993,73</t>
  </si>
  <si>
    <t>Merangin</t>
  </si>
  <si>
    <t>Perda No. 4 Tahun 2014</t>
  </si>
  <si>
    <t>Muaro Jambi</t>
  </si>
  <si>
    <t>Perda No. 22 Tahun 2014</t>
  </si>
  <si>
    <t>Sarolangun</t>
  </si>
  <si>
    <t>Perda No. 7 Tahun 2021</t>
  </si>
  <si>
    <t>Tanjung Jabung Barat</t>
  </si>
  <si>
    <t>SK No. 630/Kep.Bup/DTPH/2023</t>
  </si>
  <si>
    <t>Tanjung Jabung Timur</t>
  </si>
  <si>
    <t>Perda No. 3 Tahun 2020</t>
  </si>
  <si>
    <t>Tebo</t>
  </si>
  <si>
    <t>Bengkulu Selatan</t>
  </si>
  <si>
    <t>Bengkulu Tengah</t>
  </si>
  <si>
    <t>Perda No. 8 Tahun 2018</t>
  </si>
  <si>
    <t>Bengkulu Utara</t>
  </si>
  <si>
    <t>Perbup No. 25 Tahun 2022</t>
  </si>
  <si>
    <t>Kaur</t>
  </si>
  <si>
    <t>Kepahiang</t>
  </si>
  <si>
    <t>SK Bupati No. 520.371/2018</t>
  </si>
  <si>
    <t>Kota Bengkulu</t>
  </si>
  <si>
    <t>Perda No. 5 Tahun 2021</t>
  </si>
  <si>
    <t>Lebong</t>
  </si>
  <si>
    <t>Muko Muko</t>
  </si>
  <si>
    <t>Perda No. 21 Tahun 2015</t>
  </si>
  <si>
    <t>Rejang Lebong</t>
  </si>
  <si>
    <t>Seluma</t>
  </si>
  <si>
    <t>Banyuasin</t>
  </si>
  <si>
    <t>Perda No. 6 Tahun 2019</t>
  </si>
  <si>
    <t>Empat Lawang</t>
  </si>
  <si>
    <t>Perda No. 9 Tahun 2021/ Perda 1 Tahun 2023</t>
  </si>
  <si>
    <t>Kota Lubuk Linggau</t>
  </si>
  <si>
    <t>Perda No. 1 Tahun 2012</t>
  </si>
  <si>
    <t>Kota Pagar Alam</t>
  </si>
  <si>
    <t>Perwako No. 6 Tahun 2019</t>
  </si>
  <si>
    <t>Kota Palembang</t>
  </si>
  <si>
    <t>Permen ATR/BPN No. 5 Tahun 2024</t>
  </si>
  <si>
    <t>Kota Prabumulih</t>
  </si>
  <si>
    <t>Perda No. 1 Tahun 2014</t>
  </si>
  <si>
    <t>Lahat</t>
  </si>
  <si>
    <t>Perda No. 11 Tahun 2012</t>
  </si>
  <si>
    <t>Muara Enim</t>
  </si>
  <si>
    <t>Perbup No. 14 Tahun 2018</t>
  </si>
  <si>
    <t>Musi Banyuasin</t>
  </si>
  <si>
    <t>SK No 724 / KPTS-TPHP/2021</t>
  </si>
  <si>
    <t>Musi Rawas</t>
  </si>
  <si>
    <t>SK No 808/KPTS/DISTANAK/2021</t>
  </si>
  <si>
    <t>Musi Rawas Utara</t>
  </si>
  <si>
    <t>Perda No. 8 Tahun 2019</t>
  </si>
  <si>
    <t xml:space="preserve"> </t>
  </si>
  <si>
    <t>Ogan Ilir</t>
  </si>
  <si>
    <t>Perbup No. 80 Tahun 2022</t>
  </si>
  <si>
    <t>Ogan Komering Ilir</t>
  </si>
  <si>
    <t>SK Bupati No. 552/KEP/D.KPTH/2023</t>
  </si>
  <si>
    <t>Ogan Komering Ulu</t>
  </si>
  <si>
    <t>Perda No. 22 Tahun 2012</t>
  </si>
  <si>
    <t>Ogan Komering Ulu Selatan</t>
  </si>
  <si>
    <t>Ogan Komering Ulu Timur</t>
  </si>
  <si>
    <t>Penukal Abab Lematang Ilir</t>
  </si>
  <si>
    <t>Bangka</t>
  </si>
  <si>
    <t>SK Bupati No. 188.45/1721/DINPERTAN/2018</t>
  </si>
  <si>
    <t>Bangka Barat</t>
  </si>
  <si>
    <t>Perbub No. 25 Tahun 2022</t>
  </si>
  <si>
    <t>Bangka Selatan</t>
  </si>
  <si>
    <t>Perbup No 26/2017</t>
  </si>
  <si>
    <t>Bangka Tengah</t>
  </si>
  <si>
    <t>Perda No. 5 Tahun 2019</t>
  </si>
  <si>
    <t>Belitung</t>
  </si>
  <si>
    <t>Perda No 5 Tahun 2020 diganti Perda No. 9 Tahun 2022</t>
  </si>
  <si>
    <t>Belitung Timur</t>
  </si>
  <si>
    <t>Perda No. 13 Tahun 2014</t>
  </si>
  <si>
    <t>Kota Pangkal Pinang</t>
  </si>
  <si>
    <t>Kota Bandar Lampung</t>
  </si>
  <si>
    <t>Kota Metro</t>
  </si>
  <si>
    <t>Lampung Barat</t>
  </si>
  <si>
    <t>Lampung Selatan</t>
  </si>
  <si>
    <t>Perda No. 8 Tahun 2017</t>
  </si>
  <si>
    <t>Lampung Tengah</t>
  </si>
  <si>
    <t>Perda No. 5 Tahun 2023</t>
  </si>
  <si>
    <t>Lampung Timur</t>
  </si>
  <si>
    <t>SK B. 413/18-SK/2022</t>
  </si>
  <si>
    <t>Lampung Utara</t>
  </si>
  <si>
    <t>SK B/392/34-LU/HK/2022</t>
  </si>
  <si>
    <t>Mesuji</t>
  </si>
  <si>
    <t>SK B/402/1.02/HK/MSJ/2022</t>
  </si>
  <si>
    <t>Pesawaran</t>
  </si>
  <si>
    <t>Pesisir Barat</t>
  </si>
  <si>
    <t>Perbup No 65 Tahun 2022</t>
  </si>
  <si>
    <t>Pringsewu</t>
  </si>
  <si>
    <t>Perda No. 6 Tahun 2015</t>
  </si>
  <si>
    <t>Tanggamus</t>
  </si>
  <si>
    <t>SK B.381/22/08/2022</t>
  </si>
  <si>
    <t>Tulang Bawang Barat</t>
  </si>
  <si>
    <t>Perda No. 11 Tahun 2021</t>
  </si>
  <si>
    <t>Tulang Bawang</t>
  </si>
  <si>
    <t>SK B/2727/IV.21/HK/TB/2022</t>
  </si>
  <si>
    <t>Way Kanan</t>
  </si>
  <si>
    <t>Perda No. 01 Tahun 2017</t>
  </si>
  <si>
    <t>Kota Cilegon</t>
  </si>
  <si>
    <t>Kota Serang</t>
  </si>
  <si>
    <t>Kota Tangerang</t>
  </si>
  <si>
    <t>Kota Tangerang Selatan</t>
  </si>
  <si>
    <t>Perda No. 9 Tahun 2019</t>
  </si>
  <si>
    <t>Lebak</t>
  </si>
  <si>
    <t>Perda No. 7 Tahun 2023</t>
  </si>
  <si>
    <t>Pandeglang</t>
  </si>
  <si>
    <t>Perda No. 2 Tahun 2020</t>
  </si>
  <si>
    <t>Serang</t>
  </si>
  <si>
    <t>Tangerang</t>
  </si>
  <si>
    <t>Perda No. 9 Tahun 2020</t>
  </si>
  <si>
    <t>Kota Administrasi Jakarta Pusat</t>
  </si>
  <si>
    <t/>
  </si>
  <si>
    <t>Kota Administrasi Jakarta Selatan</t>
  </si>
  <si>
    <t>Kota Administrasi Jakarta Barat</t>
  </si>
  <si>
    <t>Kota Administrasi Jakarta Timur</t>
  </si>
  <si>
    <t>Kota Administrasi Jakarta Utara</t>
  </si>
  <si>
    <t>Administrasi Kepulauan Seribu</t>
  </si>
  <si>
    <t>Bandung</t>
  </si>
  <si>
    <t>Perda No. 1 Tahun 2019  
 Perda No 15 Tahun 2019</t>
  </si>
  <si>
    <t>Bandung Barat</t>
  </si>
  <si>
    <t>Perda 2 Tahun 2024</t>
  </si>
  <si>
    <t>Bekasi</t>
  </si>
  <si>
    <t>Perda No. 12 Tahun 2011</t>
  </si>
  <si>
    <t>Bogor</t>
  </si>
  <si>
    <t>Ciamis</t>
  </si>
  <si>
    <t>SK Bupati No. 521/KPTS.723IIuk/2021</t>
  </si>
  <si>
    <t>Cianjur</t>
  </si>
  <si>
    <t>SK Bupati No. 521/Kep.34.DTPHPKP/2022</t>
  </si>
  <si>
    <t>Cirebon</t>
  </si>
  <si>
    <t>Perda No. 7 Tahun 2018</t>
  </si>
  <si>
    <t>Garut</t>
  </si>
  <si>
    <t>Indramayu</t>
  </si>
  <si>
    <t>SK No 520/Kep.417-DKPP/2022</t>
  </si>
  <si>
    <t>Karawang</t>
  </si>
  <si>
    <t>Perbup No. 91 Tahun 2022</t>
  </si>
  <si>
    <t>Kota Bandung</t>
  </si>
  <si>
    <t>Kota Banjar</t>
  </si>
  <si>
    <t>Perda No. 4 Tahun 2024</t>
  </si>
  <si>
    <t>Kota Bekasi</t>
  </si>
  <si>
    <t>Perda No. 6 Tahun 2022</t>
  </si>
  <si>
    <t>Kota Bogor</t>
  </si>
  <si>
    <t>Perda No. 16 Tahun 2019</t>
  </si>
  <si>
    <t>Kota Cimahi</t>
  </si>
  <si>
    <t>Kota Cirebon</t>
  </si>
  <si>
    <t>Perwali No 521.5/Kep.165 DPPKP/2021</t>
  </si>
  <si>
    <t>Kota Depok</t>
  </si>
  <si>
    <t>Perda No. 9 Tahun 2022</t>
  </si>
  <si>
    <t>Kota Sukabumi</t>
  </si>
  <si>
    <t>Kota Tasikmalaya</t>
  </si>
  <si>
    <t>Perda No. 4 Tahun 2012</t>
  </si>
  <si>
    <t>Kuningan</t>
  </si>
  <si>
    <t>SK Bupati No. 520/KPTS.592-Diskatan/2021</t>
  </si>
  <si>
    <t>Majalengka</t>
  </si>
  <si>
    <t>SK No. 520/KEP.1279-DKP3/2021</t>
  </si>
  <si>
    <t>Pangandaran</t>
  </si>
  <si>
    <t>Perda No. 3 Tahun 2018</t>
  </si>
  <si>
    <t>Purwakarta</t>
  </si>
  <si>
    <t>SK Bupati No. 521.4/Kep.739-Dispangtan/2021</t>
  </si>
  <si>
    <t>Subang</t>
  </si>
  <si>
    <t>SK Bupati  No.  04.01/Kep.637.Disperta/2021</t>
  </si>
  <si>
    <t>Sukabumi</t>
  </si>
  <si>
    <t>Perda No. 8 Tahun 2014</t>
  </si>
  <si>
    <t>Sumedang</t>
  </si>
  <si>
    <t>SK No. 542 Tahun 2023</t>
  </si>
  <si>
    <t>Tasikmalaya</t>
  </si>
  <si>
    <t>Perbup No. 127 Tahun 2021</t>
  </si>
  <si>
    <t>Banjarnegara</t>
  </si>
  <si>
    <t>SK Bupati No. 521/984 Tahun 2021</t>
  </si>
  <si>
    <t>Banyumas</t>
  </si>
  <si>
    <t>SK 521/684/Tahun 2022</t>
  </si>
  <si>
    <t>Batang</t>
  </si>
  <si>
    <t>Perda No. 13 Tahun 2019</t>
  </si>
  <si>
    <t>Blora</t>
  </si>
  <si>
    <t>Boyolali</t>
  </si>
  <si>
    <t>Brebes</t>
  </si>
  <si>
    <t>Cilacap</t>
  </si>
  <si>
    <t>Demak</t>
  </si>
  <si>
    <t>Grobogan</t>
  </si>
  <si>
    <t>Perda No. 12 Tahun 2021</t>
  </si>
  <si>
    <t>Jepara</t>
  </si>
  <si>
    <t>SK No. 520/116 Tahun 2023</t>
  </si>
  <si>
    <t>Karanganyar</t>
  </si>
  <si>
    <t>Perda No. 19 Tahun 2019</t>
  </si>
  <si>
    <t>Kebumen</t>
  </si>
  <si>
    <t>SK No 521.1/431 Tahun 2022</t>
  </si>
  <si>
    <t>Kendal</t>
  </si>
  <si>
    <t>Klaten</t>
  </si>
  <si>
    <t>Perda No. 10 Tahun 2021</t>
  </si>
  <si>
    <t>Kudus</t>
  </si>
  <si>
    <t>Magelang</t>
  </si>
  <si>
    <t>SK No. 180.182/353/KEP/20/2021</t>
  </si>
  <si>
    <t>Pati</t>
  </si>
  <si>
    <t>Pekalongan</t>
  </si>
  <si>
    <t>Pemalang</t>
  </si>
  <si>
    <t>Purbalingga</t>
  </si>
  <si>
    <t>Perda No. 10 Tahun 2020</t>
  </si>
  <si>
    <t>Purworejo</t>
  </si>
  <si>
    <t>Rembang</t>
  </si>
  <si>
    <t>SK No. 521.3/1173/2024</t>
  </si>
  <si>
    <t>Semarang</t>
  </si>
  <si>
    <t>SK No. 521/0525/2021</t>
  </si>
  <si>
    <t>Sragen</t>
  </si>
  <si>
    <t>Sukoharjo</t>
  </si>
  <si>
    <t>Tegal</t>
  </si>
  <si>
    <t>SK Bupati No. 050/1374/2021</t>
  </si>
  <si>
    <t>Temanggung</t>
  </si>
  <si>
    <t>Perda No. 2 Tahun 2014/ No. 4 Tahun 2017</t>
  </si>
  <si>
    <t>Wonogiri</t>
  </si>
  <si>
    <t>Wonosobo</t>
  </si>
  <si>
    <t>SK No. 521/566/2021</t>
  </si>
  <si>
    <t>Kota Magelang</t>
  </si>
  <si>
    <t>Kota Pekalongan</t>
  </si>
  <si>
    <t>Kota Salatiga</t>
  </si>
  <si>
    <t>Kota Semarang</t>
  </si>
  <si>
    <t>Kota Surakarta</t>
  </si>
  <si>
    <t>Perda No 4 Tahun 2021</t>
  </si>
  <si>
    <t>Kota Tegal</t>
  </si>
  <si>
    <t>DI Yogyakarta</t>
  </si>
  <si>
    <t>Bantul</t>
  </si>
  <si>
    <t>SK No. 463 Tahun 2021</t>
  </si>
  <si>
    <t>Gunungkidul</t>
  </si>
  <si>
    <t>SK No 388/KPTS/2021</t>
  </si>
  <si>
    <t>Kulon Progo</t>
  </si>
  <si>
    <t xml:space="preserve">SK No. 510/A/2021 </t>
  </si>
  <si>
    <t>Sleman</t>
  </si>
  <si>
    <t>Perda No 13 Tahun 2021</t>
  </si>
  <si>
    <t>Kota Yogyakarta</t>
  </si>
  <si>
    <t>Bangkalan</t>
  </si>
  <si>
    <t>SK BUPATI No. 188.45/70/Kpts/433.013/2022</t>
  </si>
  <si>
    <t>Banyuwangi</t>
  </si>
  <si>
    <t>Perda No. 10 Tahun 2024</t>
  </si>
  <si>
    <t>Blitar</t>
  </si>
  <si>
    <t>SK NO 188/516/409,1,2/KPTS/2022</t>
  </si>
  <si>
    <t>Bojonegoro</t>
  </si>
  <si>
    <t>Bondowoso</t>
  </si>
  <si>
    <t>Perda No. 3 Tahun 2024</t>
  </si>
  <si>
    <t>Gresik</t>
  </si>
  <si>
    <t>Perda No. 7 Tahun 2015</t>
  </si>
  <si>
    <t>Jember</t>
  </si>
  <si>
    <t>SK 188.45/472/1.12/2022</t>
  </si>
  <si>
    <t>Jombang</t>
  </si>
  <si>
    <t>Kediri</t>
  </si>
  <si>
    <t>SK. No. 188,45 Tahun 2021</t>
  </si>
  <si>
    <t>Kota Batu</t>
  </si>
  <si>
    <t>Perda No. 14 Tahun 2012</t>
  </si>
  <si>
    <t>Kota Blitar</t>
  </si>
  <si>
    <t>Kota Kediri</t>
  </si>
  <si>
    <t>Kota Madiun</t>
  </si>
  <si>
    <t>Kota Malang</t>
  </si>
  <si>
    <t>Kota Mojokerto</t>
  </si>
  <si>
    <t>Kota Pasuruan</t>
  </si>
  <si>
    <t>Kota Probolinggo</t>
  </si>
  <si>
    <t>Kota Surabaya</t>
  </si>
  <si>
    <t>Perda No. 12 Tahun 2014</t>
  </si>
  <si>
    <t>Lamongan</t>
  </si>
  <si>
    <t>Lumajang</t>
  </si>
  <si>
    <t>Madiun</t>
  </si>
  <si>
    <t>Perbup No. 1 Tahun 2014
Perbup No 36 Tahun 2021
Perbup No. 37 Tahun 2023</t>
  </si>
  <si>
    <t>Magetan</t>
  </si>
  <si>
    <t>Perda No. 8 Tahun 2021</t>
  </si>
  <si>
    <t>Malang</t>
  </si>
  <si>
    <t>Perda No. 1 Tahun 2024</t>
  </si>
  <si>
    <t>Mojokerto</t>
  </si>
  <si>
    <t>Perda No. 9 Tahun 2012</t>
  </si>
  <si>
    <t>Nganjuk</t>
  </si>
  <si>
    <t>Ngawi</t>
  </si>
  <si>
    <t>Pacitan</t>
  </si>
  <si>
    <t>SK No. 188.45/180/KPTS/408.12/2022</t>
  </si>
  <si>
    <t>Pamekasan</t>
  </si>
  <si>
    <t>Perda No. 2 Tahun 2023</t>
  </si>
  <si>
    <t>Pasuruan</t>
  </si>
  <si>
    <t>SK No. 521.4/1149/HK/424.013/2022</t>
  </si>
  <si>
    <t>Ponorogo</t>
  </si>
  <si>
    <t>Probolinggo</t>
  </si>
  <si>
    <t>SK No. 10 Th 2015/ Perbup No 60 Th 2020</t>
  </si>
  <si>
    <t>Sampang</t>
  </si>
  <si>
    <t>SK No. 188.45/647/KEP/434.013/2022</t>
  </si>
  <si>
    <t>Sidoarjo</t>
  </si>
  <si>
    <t>Situbondo</t>
  </si>
  <si>
    <t>SK No. 188/428/P/001.3/2022</t>
  </si>
  <si>
    <t>Sumenep</t>
  </si>
  <si>
    <t>SK No. 188/151/KEP/435.013/2022</t>
  </si>
  <si>
    <t>Trenggalek</t>
  </si>
  <si>
    <t>Perbup No 14 Tahun 2016</t>
  </si>
  <si>
    <t>Tuban</t>
  </si>
  <si>
    <t>Perda No. 17 Tahun 2020</t>
  </si>
  <si>
    <t>Tulungagung</t>
  </si>
  <si>
    <t>SK No. 188.45/483/013/2021</t>
  </si>
  <si>
    <t>Badung</t>
  </si>
  <si>
    <t>SK No. 382/048/HK/2022 Revisi ke SK No. 284/048/HK/2024</t>
  </si>
  <si>
    <t>Bangli</t>
  </si>
  <si>
    <t>Buleleng</t>
  </si>
  <si>
    <t>SK No.  100.3.3.2/540/HK/2023</t>
  </si>
  <si>
    <t>Gianyar</t>
  </si>
  <si>
    <t>SK No 1270/E-07/HK/2022</t>
  </si>
  <si>
    <t>Jembrana</t>
  </si>
  <si>
    <t>Karangasem</t>
  </si>
  <si>
    <t>Klungkung</t>
  </si>
  <si>
    <t>SK No. 441/20/HK/2023</t>
  </si>
  <si>
    <t>Tabanan</t>
  </si>
  <si>
    <t>SK No 180/1114/03/HK/2022</t>
  </si>
  <si>
    <t>Kota Denpasar</t>
  </si>
  <si>
    <t>Bima</t>
  </si>
  <si>
    <t>SK NO 188.45/196/06.13 TAHUN 2022</t>
  </si>
  <si>
    <t>Dompu</t>
  </si>
  <si>
    <t>Perda No. 2 Tahun 2012</t>
  </si>
  <si>
    <t>Kota Bima</t>
  </si>
  <si>
    <t>Perda No. 1  Tahun 2022</t>
  </si>
  <si>
    <t>Kota Mataram</t>
  </si>
  <si>
    <t>Lombok Barat</t>
  </si>
  <si>
    <t>SK No. 100.3.3.2/777/DPUPR/2024</t>
  </si>
  <si>
    <t>Lombok Tengah</t>
  </si>
  <si>
    <t>SK NO 484 Tahun 2022</t>
  </si>
  <si>
    <t>Lombok Timur</t>
  </si>
  <si>
    <t>SK NO 188.45/483/TAN/2022</t>
  </si>
  <si>
    <t>Lombok Utara</t>
  </si>
  <si>
    <t>Perda No 9 Tahun 2011</t>
  </si>
  <si>
    <t>Sumbawa</t>
  </si>
  <si>
    <t>SK NO 1105 Tahun 2022</t>
  </si>
  <si>
    <t>Sumbawa Barat</t>
  </si>
  <si>
    <t xml:space="preserve"> No 11 Tahun 2020</t>
  </si>
  <si>
    <t>Alor</t>
  </si>
  <si>
    <t xml:space="preserve"> No. 4 Tahun 2020</t>
  </si>
  <si>
    <t>Belu</t>
  </si>
  <si>
    <t>Ende</t>
  </si>
  <si>
    <t xml:space="preserve"> No. 4 Tahun 2021</t>
  </si>
  <si>
    <t>Flores Timur</t>
  </si>
  <si>
    <t xml:space="preserve"> No 2 tahun 2021</t>
  </si>
  <si>
    <t>Kota Kupang</t>
  </si>
  <si>
    <t>Perda No 11 Tahun 2011</t>
  </si>
  <si>
    <t>Kupang</t>
  </si>
  <si>
    <t>Perda No. 6 Tahun 2023</t>
  </si>
  <si>
    <t>Lembata</t>
  </si>
  <si>
    <t>Malaka</t>
  </si>
  <si>
    <t>SK No. 230/HK/2023</t>
  </si>
  <si>
    <t>Manggarai</t>
  </si>
  <si>
    <t>Perbup No. 74 Tahun 2022</t>
  </si>
  <si>
    <t>Manggarai Barat</t>
  </si>
  <si>
    <t>Perda No 11 Tahun 2021</t>
  </si>
  <si>
    <t>Manggarai Timur</t>
  </si>
  <si>
    <t>SK HK/156/Tahun 2022</t>
  </si>
  <si>
    <t>Nagekeo</t>
  </si>
  <si>
    <t>Perda No. 1 Tahun 2011</t>
  </si>
  <si>
    <t>Ngada</t>
  </si>
  <si>
    <t xml:space="preserve"> Perda No. 6 Tahun 2020</t>
  </si>
  <si>
    <t>Rote Ndao</t>
  </si>
  <si>
    <t>Perbup No. 45 Tahun 2022</t>
  </si>
  <si>
    <t>Sabu Raijua</t>
  </si>
  <si>
    <t>Perda No. 3 Tahun 2011</t>
  </si>
  <si>
    <t>Sikka</t>
  </si>
  <si>
    <t>No. 5 Tahun 2020</t>
  </si>
  <si>
    <t>Sumba Barat</t>
  </si>
  <si>
    <t>Sumba Barat Daya</t>
  </si>
  <si>
    <t>Perda No 15 Tahun 2009</t>
  </si>
  <si>
    <t>Sumba Tengah</t>
  </si>
  <si>
    <t>Sumba Timur</t>
  </si>
  <si>
    <t>Perbup No. 58 Tahun 2022</t>
  </si>
  <si>
    <t>Timor Tengah Selatan</t>
  </si>
  <si>
    <t xml:space="preserve">SK No. 284/KEP/HK/2023 </t>
  </si>
  <si>
    <t>Timor Tengah Utara</t>
  </si>
  <si>
    <t>SK No. 733/KEP/HK/XI/2023</t>
  </si>
  <si>
    <t>Bengkayang</t>
  </si>
  <si>
    <t>SK No 595/DKPP/ Tahun 2022</t>
  </si>
  <si>
    <t>Kapuas Hulu</t>
  </si>
  <si>
    <t>Perda No 1 Tahun 2014</t>
  </si>
  <si>
    <t>Kayong Utara</t>
  </si>
  <si>
    <t>Perbup No. 49 Tahun 2022</t>
  </si>
  <si>
    <t>Ketapang</t>
  </si>
  <si>
    <t xml:space="preserve"> 996/DISTANAKBUN-B/2023 </t>
  </si>
  <si>
    <t>Kota Pontianak</t>
  </si>
  <si>
    <t>Perda No 2 Tahun 2013</t>
  </si>
  <si>
    <t>Kota Singkawang</t>
  </si>
  <si>
    <t>Perda No.1 Tahun 2022</t>
  </si>
  <si>
    <t>Kubu Raya</t>
  </si>
  <si>
    <t>SK No. 822/DKPP/2022</t>
  </si>
  <si>
    <t>Landak</t>
  </si>
  <si>
    <t xml:space="preserve">Perbup No. 63 Tahun 2023 </t>
  </si>
  <si>
    <t>Melawi</t>
  </si>
  <si>
    <t>TAD</t>
  </si>
  <si>
    <t>Mempawah</t>
  </si>
  <si>
    <t>Perda No 3 Tahun 2014</t>
  </si>
  <si>
    <t>Sambas</t>
  </si>
  <si>
    <t>Perbup No 71 Tahun 2022</t>
  </si>
  <si>
    <t>Sanggau</t>
  </si>
  <si>
    <t>SK No. 458/DKPTHP/2023</t>
  </si>
  <si>
    <t>Sekadau</t>
  </si>
  <si>
    <t>Perda No 1 Tahun 2015</t>
  </si>
  <si>
    <t>Sintang</t>
  </si>
  <si>
    <t>Perda No 20 Tahun 2015</t>
  </si>
  <si>
    <t>Balangan</t>
  </si>
  <si>
    <t>SK No. 188.45/918/Kum Tahun 2021</t>
  </si>
  <si>
    <t>Banjar</t>
  </si>
  <si>
    <t>Barito Kuala</t>
  </si>
  <si>
    <t>SK No. 188.45/7/KUM/2022</t>
  </si>
  <si>
    <t>Hulu Sungai Selatan</t>
  </si>
  <si>
    <t>SK No. 188.45/304/KUM/2021</t>
  </si>
  <si>
    <t>Hulu Sungai Tengah</t>
  </si>
  <si>
    <t>Perda No. 13 Tahun 2016</t>
  </si>
  <si>
    <t>Hulu Sungai Utara</t>
  </si>
  <si>
    <t>Perda No. 12 Tahun 2012</t>
  </si>
  <si>
    <t>Kota Banjarbaru</t>
  </si>
  <si>
    <t>SK No 188.45/271/KUM/2021</t>
  </si>
  <si>
    <t>Kota Banjarmasin</t>
  </si>
  <si>
    <t>Kotabaru</t>
  </si>
  <si>
    <t>Tabalong</t>
  </si>
  <si>
    <t>SK No. 188.45/565/2021</t>
  </si>
  <si>
    <t>Tanah Bumbu</t>
  </si>
  <si>
    <t>Tanah Laut</t>
  </si>
  <si>
    <t>Tapin</t>
  </si>
  <si>
    <t>SK No. 188.45/249/KUM/2021</t>
  </si>
  <si>
    <t>Barito Selatan</t>
  </si>
  <si>
    <t>SK No. 188.45/127/2022</t>
  </si>
  <si>
    <t>Barito Timur</t>
  </si>
  <si>
    <t>Barito Utara</t>
  </si>
  <si>
    <t>Gunung Mas</t>
  </si>
  <si>
    <t>Kapuas</t>
  </si>
  <si>
    <t>SK No 537/Distan Tahun 2022</t>
  </si>
  <si>
    <t>Katingan</t>
  </si>
  <si>
    <t>SK No 520/614 Tahun 2022</t>
  </si>
  <si>
    <t>Kota Palangkaraya</t>
  </si>
  <si>
    <t>Perda No. 1  Tahun 2019</t>
  </si>
  <si>
    <t>Kotawaringin Barat</t>
  </si>
  <si>
    <t>Perda No 1 Tahun 2018</t>
  </si>
  <si>
    <t>Kotawaringin Timur</t>
  </si>
  <si>
    <t>Perda No. 13 Tahun 2022</t>
  </si>
  <si>
    <t>Lamandau</t>
  </si>
  <si>
    <t>Perda No. 9 Tahun 2014</t>
  </si>
  <si>
    <t>Murung Raya</t>
  </si>
  <si>
    <t>Pulang Pisau</t>
  </si>
  <si>
    <t>Perda No. 9 Tahun 2021</t>
  </si>
  <si>
    <t>Seruyan</t>
  </si>
  <si>
    <t>Perda No. 1 tahun 2023</t>
  </si>
  <si>
    <t>Sukamara</t>
  </si>
  <si>
    <t>Berau</t>
  </si>
  <si>
    <t>Perbup No. 2 Tahun 2023</t>
  </si>
  <si>
    <t>Kota Balikpapan</t>
  </si>
  <si>
    <t>Kota Bontang</t>
  </si>
  <si>
    <t>Kota Samarinda</t>
  </si>
  <si>
    <t>No. 6 Tahun 2021</t>
  </si>
  <si>
    <t>Kutai Barat</t>
  </si>
  <si>
    <t>Perda No. 32 Tahun 2013</t>
  </si>
  <si>
    <t>Kutai Kartanegara</t>
  </si>
  <si>
    <t>Kutai Timur</t>
  </si>
  <si>
    <t>Mahakam Ulu</t>
  </si>
  <si>
    <t>Paser</t>
  </si>
  <si>
    <t>Penajam Paser Utara</t>
  </si>
  <si>
    <t>Perda No. 3 Tahun 2014</t>
  </si>
  <si>
    <t>Bulungan</t>
  </si>
  <si>
    <t>Malinau</t>
  </si>
  <si>
    <t>Nunukan</t>
  </si>
  <si>
    <t>Tana Tidung</t>
  </si>
  <si>
    <t>Kota Tarakan</t>
  </si>
  <si>
    <t>Bolaang Mongondow</t>
  </si>
  <si>
    <t>Perda No 2 Tahun 2014</t>
  </si>
  <si>
    <t>Bolaang Mongondow Selatan</t>
  </si>
  <si>
    <t>SK NO 398 TAHUN 2022</t>
  </si>
  <si>
    <t>Bolaang Mongondow Timur</t>
  </si>
  <si>
    <t>Perda No 10 Tahun 2013</t>
  </si>
  <si>
    <t>Bolaang Mongondow Utara</t>
  </si>
  <si>
    <t>Perbup 450 Tahun 2022</t>
  </si>
  <si>
    <t>Kepulauan Sangihe</t>
  </si>
  <si>
    <t>Perda No 4 Tahun 2014</t>
  </si>
  <si>
    <t>Kepulauan Siau Tagulandang Biaro</t>
  </si>
  <si>
    <t>Kepulauan Talaud</t>
  </si>
  <si>
    <t>Kota Bitung</t>
  </si>
  <si>
    <t>Perda No. 11 Tahun 2013</t>
  </si>
  <si>
    <t>Kota Kotamobagu</t>
  </si>
  <si>
    <t>Kota Manado</t>
  </si>
  <si>
    <t>Kota Tomohon</t>
  </si>
  <si>
    <t>Perda No 6 Tahun 2013</t>
  </si>
  <si>
    <t>Minahasa</t>
  </si>
  <si>
    <t>Minahasa Selatan</t>
  </si>
  <si>
    <t>SK No. 498 Tahun 2022</t>
  </si>
  <si>
    <t>Minahasa Tenggara</t>
  </si>
  <si>
    <t>Perda No 3 Tahun 2013</t>
  </si>
  <si>
    <t>Minahasa Utara</t>
  </si>
  <si>
    <t>Perda No. 1 Tahun 2013</t>
  </si>
  <si>
    <t>Banggai</t>
  </si>
  <si>
    <t>Banggai Kepulauan</t>
  </si>
  <si>
    <t>Banggai Laut</t>
  </si>
  <si>
    <t>Perda No. 9 Tahun 2015</t>
  </si>
  <si>
    <t>Buol</t>
  </si>
  <si>
    <t>Donggala</t>
  </si>
  <si>
    <t>Kota Palu</t>
  </si>
  <si>
    <t>Morowali</t>
  </si>
  <si>
    <t xml:space="preserve">SK No. 188.4.45/Kep.0401/DPKP/2023 </t>
  </si>
  <si>
    <t>Morowali Utara</t>
  </si>
  <si>
    <t>Perda No. 6 Tahun 2020</t>
  </si>
  <si>
    <t>Parigi Moutong</t>
  </si>
  <si>
    <t>Poso</t>
  </si>
  <si>
    <t xml:space="preserve">SK No. 188.45/0881/2023 </t>
  </si>
  <si>
    <t>Sigi</t>
  </si>
  <si>
    <t>Tojo Una Una</t>
  </si>
  <si>
    <t>Perda No. 6 Tahun 2016</t>
  </si>
  <si>
    <t>Toli Toli</t>
  </si>
  <si>
    <t>Majene</t>
  </si>
  <si>
    <t>Mamasa</t>
  </si>
  <si>
    <t>Perda No. 1 Tahun 2015</t>
  </si>
  <si>
    <t>Mamuju</t>
  </si>
  <si>
    <t>Perda No. 10 Tahun 2019</t>
  </si>
  <si>
    <t>Mamuju Tengah</t>
  </si>
  <si>
    <t>Perbup No 32 Tahun 2021</t>
  </si>
  <si>
    <t>Pasangkayu</t>
  </si>
  <si>
    <t>Polewali Mandar</t>
  </si>
  <si>
    <t>No. 4 Tahun 2017</t>
  </si>
  <si>
    <t>Bantaeng</t>
  </si>
  <si>
    <t>Barru</t>
  </si>
  <si>
    <t>SK No. 285/DISTAN-KP/VI/2024</t>
  </si>
  <si>
    <t>Bone</t>
  </si>
  <si>
    <t>Bulukumba</t>
  </si>
  <si>
    <t>Perbup No. 14 Tahun 2023</t>
  </si>
  <si>
    <t>Enrekang</t>
  </si>
  <si>
    <t>Perda No. 14 Tahun 2011</t>
  </si>
  <si>
    <t>Gowa</t>
  </si>
  <si>
    <t>Perbup No 32 Tahun 2022</t>
  </si>
  <si>
    <t>Jeneponto</t>
  </si>
  <si>
    <t>Perda No 1 Tahun 2022</t>
  </si>
  <si>
    <t>Kepulauan Selayar</t>
  </si>
  <si>
    <t>Perda No. 5 Tahun 2012</t>
  </si>
  <si>
    <t>Kota Makassar</t>
  </si>
  <si>
    <t>Perda No. 4 Tahun 2015</t>
  </si>
  <si>
    <t>Kota Palopo</t>
  </si>
  <si>
    <t>No. 5 Tahun 2021</t>
  </si>
  <si>
    <t>Kota Pare Pare</t>
  </si>
  <si>
    <t>Luwu</t>
  </si>
  <si>
    <t>SK No. 832/XII/2023</t>
  </si>
  <si>
    <t>Luwu Timur</t>
  </si>
  <si>
    <t>SK No. 291/D-16/XII/2022</t>
  </si>
  <si>
    <t>Luwu Utara</t>
  </si>
  <si>
    <t>Maros</t>
  </si>
  <si>
    <t>Pangkajene Kepulauan</t>
  </si>
  <si>
    <t>SK No. 1095 Tahun 2022</t>
  </si>
  <si>
    <t>Pinrang</t>
  </si>
  <si>
    <t>SK NO 520/550/2022</t>
  </si>
  <si>
    <t>Sidenreng Rappang</t>
  </si>
  <si>
    <t>Perbup No 73 Tahun 2022</t>
  </si>
  <si>
    <t>Sinjai</t>
  </si>
  <si>
    <t>No. 13 Tahun 2017</t>
  </si>
  <si>
    <t>Soppeng</t>
  </si>
  <si>
    <t>SK No. 557/XII/2023</t>
  </si>
  <si>
    <t>Takalar</t>
  </si>
  <si>
    <t>SK No. 514 Tahun 2022</t>
  </si>
  <si>
    <t>Tana Toraja</t>
  </si>
  <si>
    <t xml:space="preserve">SK No. 495/XII/Tahun 2023 </t>
  </si>
  <si>
    <t>Toraja Utara</t>
  </si>
  <si>
    <t>Perda No. 3 Tahun 2012</t>
  </si>
  <si>
    <t>Wajo</t>
  </si>
  <si>
    <t>SK NO 817 Tahun 2022</t>
  </si>
  <si>
    <t>Bombana</t>
  </si>
  <si>
    <t>Buton</t>
  </si>
  <si>
    <t>Perda No. 16 Tahun 2022</t>
  </si>
  <si>
    <t>Buton Selatan</t>
  </si>
  <si>
    <t>Perbup No. 42 Tahun 2021</t>
  </si>
  <si>
    <t>Buton Tengah</t>
  </si>
  <si>
    <t>Perda No.2 Tahun 2022</t>
  </si>
  <si>
    <t>Buton Utara</t>
  </si>
  <si>
    <t>Kolaka</t>
  </si>
  <si>
    <t>Kolaka Timur</t>
  </si>
  <si>
    <t>Perda No. 15 Tahun 2017</t>
  </si>
  <si>
    <t>Kolaka Utara</t>
  </si>
  <si>
    <t>Perda No. 6 Tahun 2012</t>
  </si>
  <si>
    <t>Konawe</t>
  </si>
  <si>
    <t>SK No. 1933 Tahun 2023</t>
  </si>
  <si>
    <t>Konawe Kepulauan</t>
  </si>
  <si>
    <t>Konawe Selatan</t>
  </si>
  <si>
    <t>Perda No. 5 tahun 2020</t>
  </si>
  <si>
    <t>Konawe Utara</t>
  </si>
  <si>
    <t>Perda No. 20 Tahun 2012</t>
  </si>
  <si>
    <t>Kota Bau Bau</t>
  </si>
  <si>
    <t>Kota Kendari</t>
  </si>
  <si>
    <t>Muna</t>
  </si>
  <si>
    <t>Perbup No. 40 Tahun 2021</t>
  </si>
  <si>
    <t>Muna Barat</t>
  </si>
  <si>
    <t>Wakatobi</t>
  </si>
  <si>
    <t>Boalemo</t>
  </si>
  <si>
    <t>SK Bupati No. 020/408/XI/2023</t>
  </si>
  <si>
    <t>Bone Bolango</t>
  </si>
  <si>
    <t>Perda No.11 Tahun 2014</t>
  </si>
  <si>
    <t>Perda No 4 Tahun 2013</t>
  </si>
  <si>
    <t>Gorontalo Utara</t>
  </si>
  <si>
    <t>SK No. SK327.XI.2023</t>
  </si>
  <si>
    <t>Kota Gorontalo</t>
  </si>
  <si>
    <t>Pohuwato</t>
  </si>
  <si>
    <t>SK Bupati No. 390/16/XI/2023</t>
  </si>
  <si>
    <t>Buru</t>
  </si>
  <si>
    <t>Perda No. 14 Tahun 2018</t>
  </si>
  <si>
    <t>Buru Selatan</t>
  </si>
  <si>
    <t>Perda No. 29 Tahun 2012</t>
  </si>
  <si>
    <t>Kepulauan Aru</t>
  </si>
  <si>
    <t>Kepulauan Tanimbar</t>
  </si>
  <si>
    <t>Kota Ambon</t>
  </si>
  <si>
    <t>Kota Tual</t>
  </si>
  <si>
    <t>Perda No. 3 Tahun 2013</t>
  </si>
  <si>
    <t>Maluku Barat Daya</t>
  </si>
  <si>
    <t>Maluku Tengah</t>
  </si>
  <si>
    <t>Maluku Tenggara</t>
  </si>
  <si>
    <t>Perda No. 246 Tahun 2021</t>
  </si>
  <si>
    <t>Seram Bagian Barat</t>
  </si>
  <si>
    <t>Seram Bagian Timur</t>
  </si>
  <si>
    <t>SK No. 483 Tahun 2023</t>
  </si>
  <si>
    <t>Halmahera Barat</t>
  </si>
  <si>
    <t>Perda No. 38 Tahun 2012</t>
  </si>
  <si>
    <t>Halmahera Selatan</t>
  </si>
  <si>
    <t>Halmahera Tengah</t>
  </si>
  <si>
    <t>Halmahera Timur</t>
  </si>
  <si>
    <t>Halmahera Utara</t>
  </si>
  <si>
    <t>Perbup No. 13 Th 2022</t>
  </si>
  <si>
    <t>Kepulauan Sula</t>
  </si>
  <si>
    <t>Kota Ternate</t>
  </si>
  <si>
    <t>Kota Tidore Kepulauan</t>
  </si>
  <si>
    <t>Perda No. 25 Tahun 2013</t>
  </si>
  <si>
    <t>Pulau Morotai</t>
  </si>
  <si>
    <t>Pulau Taliabu</t>
  </si>
  <si>
    <t>Fak Fak</t>
  </si>
  <si>
    <t>Kaimana</t>
  </si>
  <si>
    <t>Manokwari</t>
  </si>
  <si>
    <t>Perda No. 7 Tahun 2024</t>
  </si>
  <si>
    <t>Manokwari Selatan</t>
  </si>
  <si>
    <t>Pegunungan Arfak</t>
  </si>
  <si>
    <t>Teluk Bintuni</t>
  </si>
  <si>
    <t>Teluk Wondama</t>
  </si>
  <si>
    <t>Kota Sorong</t>
  </si>
  <si>
    <t>Maybrat</t>
  </si>
  <si>
    <t>Raja Ampat</t>
  </si>
  <si>
    <t>Sorong</t>
  </si>
  <si>
    <t>Sorong Selatan</t>
  </si>
  <si>
    <t>Tambrauw</t>
  </si>
  <si>
    <t>Biak Numfor</t>
  </si>
  <si>
    <t>Jayapura</t>
  </si>
  <si>
    <t>Keerom</t>
  </si>
  <si>
    <t>Perda No. 16 Tahun 2013</t>
  </si>
  <si>
    <t>Kepulauan Yapen</t>
  </si>
  <si>
    <t>Perda No. 15 Tahun 2013</t>
  </si>
  <si>
    <t>Kota Jayapura</t>
  </si>
  <si>
    <t>Mamberamo Raya</t>
  </si>
  <si>
    <t>Perda No. 2 Tahun 2015</t>
  </si>
  <si>
    <t>Sarmi</t>
  </si>
  <si>
    <t>Supiori</t>
  </si>
  <si>
    <t>Waropen</t>
  </si>
  <si>
    <t>Jayawijaya</t>
  </si>
  <si>
    <t>Lanny Jaya</t>
  </si>
  <si>
    <t>Perda No. 5 Tahun 2014</t>
  </si>
  <si>
    <t>Mamberamo Tengah</t>
  </si>
  <si>
    <t>Perda No. 3 Tahun 2016</t>
  </si>
  <si>
    <t>Nduga</t>
  </si>
  <si>
    <t>Pegunungan Bintang</t>
  </si>
  <si>
    <t>Tolikara</t>
  </si>
  <si>
    <t>Perda No. 11 Tahun 2014</t>
  </si>
  <si>
    <t>Yahukimo</t>
  </si>
  <si>
    <t>Perda No. 2 Tahun 2011</t>
  </si>
  <si>
    <t>Yalimo</t>
  </si>
  <si>
    <t>Perda No. 8 Tahun 2013</t>
  </si>
  <si>
    <t>Asmat</t>
  </si>
  <si>
    <t>Boven Digoel</t>
  </si>
  <si>
    <t>Mappi</t>
  </si>
  <si>
    <t>Merauke</t>
  </si>
  <si>
    <t>Perda No 3 Tahun 2022</t>
  </si>
  <si>
    <t>Deiyai</t>
  </si>
  <si>
    <t>Perda No. 9 Tahun 2013</t>
  </si>
  <si>
    <t>Dogiyai</t>
  </si>
  <si>
    <t>Perbup No. 17 Tahun 2019</t>
  </si>
  <si>
    <t>Intan Jaya</t>
  </si>
  <si>
    <t>Mimika</t>
  </si>
  <si>
    <t>Nabire</t>
  </si>
  <si>
    <t>Paniai</t>
  </si>
  <si>
    <t>Puncak</t>
  </si>
  <si>
    <t>Puncak Jaya</t>
  </si>
  <si>
    <t>LBS dalam LP2B</t>
  </si>
  <si>
    <t>Vera</t>
  </si>
  <si>
    <t>Jumlah</t>
  </si>
  <si>
    <t>Apri</t>
  </si>
  <si>
    <t>LBS yang ditetapkan dalam LP2B</t>
  </si>
  <si>
    <t>April</t>
  </si>
  <si>
    <t>LBS</t>
  </si>
  <si>
    <t>Budi</t>
  </si>
  <si>
    <t>% LBS ditetapkan menjadi LP2B</t>
  </si>
  <si>
    <t>Debby</t>
  </si>
  <si>
    <t>Agung</t>
  </si>
  <si>
    <t>Asep</t>
  </si>
  <si>
    <t>Analisa LBS 2019 dalam Penetapan PLP2B Kabupaten/Kota (Ha)</t>
  </si>
  <si>
    <t>Peraturan</t>
  </si>
  <si>
    <t>Ketersediaan Data</t>
  </si>
  <si>
    <t>LBS ditetapkan menjadi PLP2B</t>
  </si>
  <si>
    <t>LBS tidak ditetapkan menjadi PLP2B</t>
  </si>
  <si>
    <t>Kategori</t>
  </si>
  <si>
    <t>PLP2B (Ha)*</t>
  </si>
  <si>
    <t>Persentase</t>
  </si>
  <si>
    <t>Qanun 2 Tahun 2024</t>
  </si>
  <si>
    <t>Kota Administrasi Jakarat Selatan</t>
  </si>
  <si>
    <t>SK No. 382/048/HK/2022</t>
  </si>
  <si>
    <t>Perda No 5 Tahun 2015</t>
  </si>
  <si>
    <t xml:space="preserve">Perda No. 1 Tahun 2018 </t>
  </si>
  <si>
    <t>Perda No. Tahun 2024</t>
  </si>
  <si>
    <t>No.</t>
  </si>
  <si>
    <t xml:space="preserve">Rancangan Peraturan </t>
  </si>
  <si>
    <t>Ketersediaan Data (Ha)</t>
  </si>
  <si>
    <t>Draft Ranperda / Ranperkada RTRW/RDTR</t>
  </si>
  <si>
    <t>Hasil Overlay Terhadap Data yang Relevan dengan LP2B/KP2B dalam Pola Ruang</t>
  </si>
  <si>
    <t>Indikasi Perubahan Lahan Sawah tidak di akomodir sebagai PLP2B (ha)</t>
  </si>
  <si>
    <t>Rekomendasi Penetapan PLP2B pada RTR (Ha)</t>
  </si>
  <si>
    <t>LBS 2019</t>
  </si>
  <si>
    <t>PLP2B Perda, Perkada LP2B</t>
  </si>
  <si>
    <t>Cakupan Wilayah (ha)</t>
  </si>
  <si>
    <t>Rencana PLP2B (Ha)</t>
  </si>
  <si>
    <t>Keterangan</t>
  </si>
  <si>
    <t>diakomodir</t>
  </si>
  <si>
    <t>tidak diakomodir</t>
  </si>
  <si>
    <t>penetapan diluar LBS 2019/PLP2B</t>
  </si>
  <si>
    <t>Tanaman Pangan dan Hortikultura</t>
  </si>
  <si>
    <t>Peruntukan Industri</t>
  </si>
  <si>
    <t>Permukiman</t>
  </si>
  <si>
    <t>Perdagangan dan Jasa</t>
  </si>
  <si>
    <t>Lainnya</t>
  </si>
  <si>
    <t>Tanggal Linsek</t>
  </si>
  <si>
    <t>Penugasan</t>
  </si>
  <si>
    <t>Jenis / No. Surat</t>
  </si>
  <si>
    <t>Tanggal Surat</t>
  </si>
  <si>
    <t>Ketersediaan</t>
  </si>
  <si>
    <t>RTRW Kabupaten Bantaeng</t>
  </si>
  <si>
    <t>Bangda</t>
  </si>
  <si>
    <t>Budi Saputro</t>
  </si>
  <si>
    <t>Telaah Staff</t>
  </si>
  <si>
    <t>Ada</t>
  </si>
  <si>
    <t>RTRW Kabupaten Takalar</t>
  </si>
  <si>
    <t>Kotamobagu</t>
  </si>
  <si>
    <t>RTRW Kotamobagu</t>
  </si>
  <si>
    <t>Linsek</t>
  </si>
  <si>
    <t>Apriani Widiatiningsih</t>
  </si>
  <si>
    <t>Surat Dir. PPL No. B-52/SR.020/B.2/02/2024</t>
  </si>
  <si>
    <t>Kep. Bangka Belitung</t>
  </si>
  <si>
    <t>RTRW Kabupaten Bangka</t>
  </si>
  <si>
    <t>Pinta Uli Vera dan Hakim</t>
  </si>
  <si>
    <t>RTRW Kabupaten Bogor</t>
  </si>
  <si>
    <t>RTRW Kabupaten Tasikmalaya</t>
  </si>
  <si>
    <t>Debby Dayusita</t>
  </si>
  <si>
    <t>RTRW Kabupaten Kubu Raya</t>
  </si>
  <si>
    <t>RTRW Kabupaten Pasangkayu</t>
  </si>
  <si>
    <t>RTRW Kabupaten Halmahera Tengah</t>
  </si>
  <si>
    <t>NTT</t>
  </si>
  <si>
    <t>RTRW Kabupaten Nagekeo</t>
  </si>
  <si>
    <t>RTRW Kabupaten Malaka</t>
  </si>
  <si>
    <t>RTRW Kabupaten Teluk Bintuni</t>
  </si>
  <si>
    <t>RTRW Kabupaten Penjama Paser Utara</t>
  </si>
  <si>
    <t>Surat Dir. PPL No. B-94/SR.020/B.2/03/2024</t>
  </si>
  <si>
    <t>RTRW Kabupaten Kutai Barat</t>
  </si>
  <si>
    <t>RTRW Kabupaten Barito Selatan</t>
  </si>
  <si>
    <t>RTRW Kabupaten Kotawaringin Barat</t>
  </si>
  <si>
    <t>RTRW Kabupaten Pulang Pisau</t>
  </si>
  <si>
    <t>RTRW Kabupaten Barito Utara</t>
  </si>
  <si>
    <t>-</t>
  </si>
  <si>
    <t>Data Tidak Tersedia</t>
  </si>
  <si>
    <t>RTRW Kabupaten Kepulauan Aru</t>
  </si>
  <si>
    <t>RTRW Kabupaten Poso</t>
  </si>
  <si>
    <t>RTRW Kabupaten Bireuen</t>
  </si>
  <si>
    <t>M Dwi Apriyanto</t>
  </si>
  <si>
    <t>RTRW Kabupaten Tanjung Jabung Barat</t>
  </si>
  <si>
    <t>RTRW Kabupaten Cirebon</t>
  </si>
  <si>
    <t>RTRW Kabupaten Tapin</t>
  </si>
  <si>
    <t>Surat Dir. PPL No. B-117/SR.020/B.2/03/2024</t>
  </si>
  <si>
    <t>RTRW Kabupaten Bandung Barat</t>
  </si>
  <si>
    <t>Surat Dir. PPL</t>
  </si>
  <si>
    <t>Belum</t>
  </si>
  <si>
    <t>DATA PENETAPAN LP2B DALAM PERDA RTRW / PERDA LP2B / SK BUPATI KAB /KOTA</t>
  </si>
  <si>
    <t>Luas LBS 2019</t>
  </si>
  <si>
    <t>LUASAN</t>
  </si>
  <si>
    <t xml:space="preserve">PERDA RTRW </t>
  </si>
  <si>
    <t>PERDA</t>
  </si>
  <si>
    <t>PERKADA</t>
  </si>
  <si>
    <t xml:space="preserve">ALOKASI  </t>
  </si>
  <si>
    <t>LSD</t>
  </si>
  <si>
    <t>TOTAL SPASIAL</t>
  </si>
  <si>
    <t>TAHUN PENETAPAN PERDA RTRW</t>
  </si>
  <si>
    <t>PENETAPAN KP2B</t>
  </si>
  <si>
    <t>KLAUSUL AMANAT</t>
  </si>
  <si>
    <t>KEBIJAKAN LAIN</t>
  </si>
  <si>
    <t>KESIMPULAN</t>
  </si>
  <si>
    <t>NO</t>
  </si>
  <si>
    <t>KABKOT</t>
  </si>
  <si>
    <t xml:space="preserve"> (SK 686 2019)</t>
  </si>
  <si>
    <t>KET</t>
  </si>
  <si>
    <t xml:space="preserve">PETA </t>
  </si>
  <si>
    <t>NOMOR</t>
  </si>
  <si>
    <t>LUAS</t>
  </si>
  <si>
    <t>LUAS KP2B/LP2B</t>
  </si>
  <si>
    <t>RPLP2B</t>
  </si>
  <si>
    <t>KELAS</t>
  </si>
  <si>
    <t>CATATAN LAIN</t>
  </si>
  <si>
    <t>(.shp)</t>
  </si>
  <si>
    <t>LP2B</t>
  </si>
  <si>
    <t>LCP2B</t>
  </si>
  <si>
    <t>KP2B</t>
  </si>
  <si>
    <t>ACEH BARAT</t>
  </si>
  <si>
    <t>Qanun No. 1 Tahun 2013</t>
  </si>
  <si>
    <t>V</t>
  </si>
  <si>
    <t>A</t>
  </si>
  <si>
    <t>Penetapan LP2B di RTRW lebih besar daripada SK Bupati</t>
  </si>
  <si>
    <t>ACEH BARAT DAYA</t>
  </si>
  <si>
    <t>Qanun No. 17 Tahun 2013</t>
  </si>
  <si>
    <t>Perda RTRW, penetapan didalam perbup, perbup sudah ada</t>
  </si>
  <si>
    <t>1b</t>
  </si>
  <si>
    <t>ACEH BESAR</t>
  </si>
  <si>
    <t>Qanun No 4 Tahun 2013</t>
  </si>
  <si>
    <t>Qanun No. 5 Tahun 2013</t>
  </si>
  <si>
    <t>Penetapan LP2B dalam RTRW dan Perda LP2B angka tidak singkron</t>
  </si>
  <si>
    <t>ACEH JAYA</t>
  </si>
  <si>
    <t>Qanun No. 9 Tahun 2014</t>
  </si>
  <si>
    <t>Qanun No.17 Tahun 2021</t>
  </si>
  <si>
    <t>Pola 2</t>
  </si>
  <si>
    <t>ACEH SELATAN</t>
  </si>
  <si>
    <t>Qanun No. 11 Tahun 2016</t>
  </si>
  <si>
    <t>Dalam Perda RTRW memerintahkan penetapan lebih lanjut dengan Keputusan Bupati, Tapi yang terbit adalah Perbup</t>
  </si>
  <si>
    <t>ACEH SINGKIL</t>
  </si>
  <si>
    <t>Qanun No. 2 Tahun 2013</t>
  </si>
  <si>
    <t>Qanun No. 42 tahun 2020</t>
  </si>
  <si>
    <t>x</t>
  </si>
  <si>
    <t>B</t>
  </si>
  <si>
    <t>Penetapan LP2B RTRW Lebih kecil daripada Perda LP2B Perbup</t>
  </si>
  <si>
    <t>ACEH TAMIANG</t>
  </si>
  <si>
    <t>Qanun No. 14 Tahun 2013</t>
  </si>
  <si>
    <t>Perbup No. 6 Tahun 2021</t>
  </si>
  <si>
    <t>ACEH TENGAH</t>
  </si>
  <si>
    <t>Qanun No. 2 Tahun 2016</t>
  </si>
  <si>
    <t>ACEH TENGGARA</t>
  </si>
  <si>
    <t>ACEH TIMUR</t>
  </si>
  <si>
    <t>Qanun No. 10 Tahun 2013</t>
  </si>
  <si>
    <t>SK Bupati No .521.5/483/2022</t>
  </si>
  <si>
    <t>ACEH UTARA</t>
  </si>
  <si>
    <t>Qanun No. 7 Tahun 2013</t>
  </si>
  <si>
    <t>BENER MERIAH</t>
  </si>
  <si>
    <t>Proses</t>
  </si>
  <si>
    <t>BIREUEN</t>
  </si>
  <si>
    <t>Qanun No.7 Tahun 2013</t>
  </si>
  <si>
    <t>SK No. 650 Tahun 2022</t>
  </si>
  <si>
    <t>GAYO LUES</t>
  </si>
  <si>
    <t>Qanun No. 15 Tahun 2013</t>
  </si>
  <si>
    <t>KOTA BANDA ACEH</t>
  </si>
  <si>
    <t>KOTA LANGSA</t>
  </si>
  <si>
    <t>Qanun No. 12 Tahun 2013</t>
  </si>
  <si>
    <t>KOTA LHOKSEUMAWE</t>
  </si>
  <si>
    <t>Qanun No. 1 Tahun 2014</t>
  </si>
  <si>
    <t>Qanun No. 3 Tahun 2021</t>
  </si>
  <si>
    <t>Dalami</t>
  </si>
  <si>
    <t>KOTA SABANG</t>
  </si>
  <si>
    <t>KOTA SUBULUSSALAM</t>
  </si>
  <si>
    <t>NAGAN RAYA</t>
  </si>
  <si>
    <t>Qanun No. 11 Tahun 2015</t>
  </si>
  <si>
    <t>2023 Tambahan</t>
  </si>
  <si>
    <t>PIDIE</t>
  </si>
  <si>
    <t>Qanun No. 5 Tahun 2014</t>
  </si>
  <si>
    <t>PIDIE JAYA</t>
  </si>
  <si>
    <t>Qanun No. 4 Tahun 2014</t>
  </si>
  <si>
    <t>Qanun No. 1 Tahun 2021</t>
  </si>
  <si>
    <t>SIMEULUE</t>
  </si>
  <si>
    <t>Qanun No. 2 Tahun 2014</t>
  </si>
  <si>
    <t xml:space="preserve">ACEH  </t>
  </si>
  <si>
    <t>v</t>
  </si>
  <si>
    <t>ASAHAN</t>
  </si>
  <si>
    <t>Perda No. 3 Tahun 2017</t>
  </si>
  <si>
    <t>Mendelegasikan Ke RTRW</t>
  </si>
  <si>
    <t>BATU BARA</t>
  </si>
  <si>
    <t>DAIRI</t>
  </si>
  <si>
    <t>DELI SERDANG</t>
  </si>
  <si>
    <t>HUMBANG HASUNDUTAN</t>
  </si>
  <si>
    <t xml:space="preserve"> Kawasan pertanian bagi komoditas tanaman pangan diarahkan menjadi lahan pertanian tanaman pangan berkelanjutan dan/atau lahan cadangan pertanian tanaman pangan berkelanjutan yang terdiri dari lahan basah, termasuk rawa pasang surut/lebak, dan lahan kering</t>
  </si>
  <si>
    <t>KARO</t>
  </si>
  <si>
    <t>KOTA BINJAI</t>
  </si>
  <si>
    <t>KOTA GUNUNG SITOLI</t>
  </si>
  <si>
    <t>KOTA MEDAN</t>
  </si>
  <si>
    <t>KOTA PADANG SIDEMPUAN</t>
  </si>
  <si>
    <t>KOTA PEMATANG SIANTAR</t>
  </si>
  <si>
    <t>Perda No.1 Tahun 2013</t>
  </si>
  <si>
    <t>KOTA SIBOLGA</t>
  </si>
  <si>
    <t>380,18 Ha Diarahkan untuk menjadi L/LCP2B ditetapkan sesuai ketntuan perundang undangan</t>
  </si>
  <si>
    <t>KOTA TANJUNGBALAI</t>
  </si>
  <si>
    <t>KOTA TEBING TINGGI</t>
  </si>
  <si>
    <t>Perda No. 4 Tahun 2013</t>
  </si>
  <si>
    <t>LABUHAN BATU</t>
  </si>
  <si>
    <t>Pola 1</t>
  </si>
  <si>
    <t>LABUHAN BATU SELATAN</t>
  </si>
  <si>
    <t>LABUHAN BATU UTARA</t>
  </si>
  <si>
    <t>LANGKAT</t>
  </si>
  <si>
    <t>MANDAILING NATAL</t>
  </si>
  <si>
    <t>NIAS</t>
  </si>
  <si>
    <t>Mendelegasikan Ke Perbup</t>
  </si>
  <si>
    <t>NIAS BARAT</t>
  </si>
  <si>
    <t>Perda No.1 Tahun 2023</t>
  </si>
  <si>
    <t>NIAS SELATAN</t>
  </si>
  <si>
    <t>NIAS UTARA</t>
  </si>
  <si>
    <t>PADANG LAWAS</t>
  </si>
  <si>
    <t>PADANG LAWAS UTARA</t>
  </si>
  <si>
    <t>PAKPAK BHARAT</t>
  </si>
  <si>
    <t>SAMOSIR</t>
  </si>
  <si>
    <t>SERDANG BEDAGAI</t>
  </si>
  <si>
    <t>SIMALUNGUN</t>
  </si>
  <si>
    <t>Pendampingan</t>
  </si>
  <si>
    <t>TAPANULI SELATAN</t>
  </si>
  <si>
    <t>TAPANULI TENGAH</t>
  </si>
  <si>
    <t>TAPANULI UTARA</t>
  </si>
  <si>
    <t>Perda No. 3 tahun 2018</t>
  </si>
  <si>
    <t>TOBA SAMOSIR</t>
  </si>
  <si>
    <t>Perda No. 12 Tahun 2017</t>
  </si>
  <si>
    <t>LP2B lebih lanjut ditetapkan dengan Peraturan Daerah</t>
  </si>
  <si>
    <t xml:space="preserve">SUMATERA UTARA  </t>
  </si>
  <si>
    <t>AGAM</t>
  </si>
  <si>
    <t>DHARMASRAYA</t>
  </si>
  <si>
    <t>KEPULAUAN MENTAWAI</t>
  </si>
  <si>
    <t>KOTA BUKITTINGGI</t>
  </si>
  <si>
    <t>Penetapan lahan pertanian pangan berkelanjutan ditetapkan dengan Peraturan Daerah</t>
  </si>
  <si>
    <t>KOTA PADANG</t>
  </si>
  <si>
    <t>KOTA PADANG PANJANG</t>
  </si>
  <si>
    <t>Tanaman Pangan 556 Ha diarahkan untuk LP2B dan ditetapkan kemudian</t>
  </si>
  <si>
    <t>KOTA PARIAMAN</t>
  </si>
  <si>
    <t>KOTA PAYAKUMBUH</t>
  </si>
  <si>
    <t>Perda No.1 Tahun 2021</t>
  </si>
  <si>
    <t>KOTA SAWAHLUNTO</t>
  </si>
  <si>
    <t>KOTA SOLOK</t>
  </si>
  <si>
    <t>Perda No. 13 Tahun 2012</t>
  </si>
  <si>
    <t>LIMA PULUH KOTA</t>
  </si>
  <si>
    <t>Perda No. 7 Tahun 2012</t>
  </si>
  <si>
    <t>PADANG PARIAMAN</t>
  </si>
  <si>
    <t>PASAMAN</t>
  </si>
  <si>
    <t>PASAMAN BARAT</t>
  </si>
  <si>
    <t>No. 188.45/728/BUP-PASBAR/2021</t>
  </si>
  <si>
    <t>PESISIR SELATAN</t>
  </si>
  <si>
    <t>SIJUNJUNG</t>
  </si>
  <si>
    <t>SK No. 188.45/519/ KPTS-BPT-2021</t>
  </si>
  <si>
    <t>SOLOK</t>
  </si>
  <si>
    <t>SOLOK SELATAN</t>
  </si>
  <si>
    <t>TANAH DATAR</t>
  </si>
  <si>
    <t xml:space="preserve">SUMATERA BARAT  </t>
  </si>
  <si>
    <t>BENGKALIS</t>
  </si>
  <si>
    <t>INDRAGIRI HILIR</t>
  </si>
  <si>
    <t>INDRAGIRI HULU</t>
  </si>
  <si>
    <t>KAMPAR</t>
  </si>
  <si>
    <t>KEPULAUAN MERANTI</t>
  </si>
  <si>
    <t>KOTA DUMAI</t>
  </si>
  <si>
    <t>KOTA PEKANBARU</t>
  </si>
  <si>
    <t>KUANTAN SINGINGI</t>
  </si>
  <si>
    <t>PELALAWAN</t>
  </si>
  <si>
    <t>ROKAN HILIR</t>
  </si>
  <si>
    <t>ROKAN HULU</t>
  </si>
  <si>
    <t>SIAK</t>
  </si>
  <si>
    <t>Perda No. 2 Tahun 2014</t>
  </si>
  <si>
    <t xml:space="preserve">RIAU  </t>
  </si>
  <si>
    <t>BATANG HARI</t>
  </si>
  <si>
    <t>Perda No. 18 Tahun 2016</t>
  </si>
  <si>
    <t>BUNGO</t>
  </si>
  <si>
    <t>KERINCI</t>
  </si>
  <si>
    <t>KOTA JAMBI</t>
  </si>
  <si>
    <t>KOTA SUNGAI PENUH</t>
  </si>
  <si>
    <t>Sedang proses Perda PLP2B dari APBD 2</t>
  </si>
  <si>
    <t>MERANGIN</t>
  </si>
  <si>
    <t>MUARO JAMBI</t>
  </si>
  <si>
    <t>SAROLANGUN</t>
  </si>
  <si>
    <t>TANJUNG JABUNG BARAT</t>
  </si>
  <si>
    <t>Perda No.14 Tahun 2018</t>
  </si>
  <si>
    <t>Sebaran Lebih Lanjut diatur dengan SK Bupati</t>
  </si>
  <si>
    <t>TANJUNG JABUNG TIMUR</t>
  </si>
  <si>
    <t>Perda No. 18 Tahun 2013</t>
  </si>
  <si>
    <t>Penetapan berdasarkan titik (poin)</t>
  </si>
  <si>
    <t>TEBO</t>
  </si>
  <si>
    <t>Perda No. 10 Tahun 2013</t>
  </si>
  <si>
    <t>Perda No.20 Tahun 2021</t>
  </si>
  <si>
    <t>Penetapan dalam RTRW</t>
  </si>
  <si>
    <t xml:space="preserve">JAMBI  </t>
  </si>
  <si>
    <t>BANYU ASIN</t>
  </si>
  <si>
    <t>Perda No. 24 Th 2012</t>
  </si>
  <si>
    <t>Perbup No. 44 Th 2019</t>
  </si>
  <si>
    <t>EMPAT LAWANG</t>
  </si>
  <si>
    <t>KOTA LUBUK LINGGAU</t>
  </si>
  <si>
    <t>KOTA PAGAR ALAM</t>
  </si>
  <si>
    <t>Perda No. 06 Tahun 2019</t>
  </si>
  <si>
    <t>KOTA PALEMBANG</t>
  </si>
  <si>
    <t>Perda No. 15 Tahun 2012</t>
  </si>
  <si>
    <t>KOTA PRABUMULIH</t>
  </si>
  <si>
    <t>LAHAT</t>
  </si>
  <si>
    <t>MUARA ENIM</t>
  </si>
  <si>
    <t>Perda No. 13 Tahun 2018</t>
  </si>
  <si>
    <t>MUSI BANYUASIN</t>
  </si>
  <si>
    <t>Perda No. 8 Tahun 2016</t>
  </si>
  <si>
    <t>MUSI RAWAS</t>
  </si>
  <si>
    <t xml:space="preserve">Perda No. 13 Tahun 2018 </t>
  </si>
  <si>
    <t>2020/2021</t>
  </si>
  <si>
    <t>MUSI RAWAS UTARA</t>
  </si>
  <si>
    <t>Perda No. 12 Tahun 2018</t>
  </si>
  <si>
    <t>OGAN ILIR</t>
  </si>
  <si>
    <t>OGAN KOMERING ILIR</t>
  </si>
  <si>
    <t>Output 2021 sedang dibahas di Pokja dalam bentuk Perbup</t>
  </si>
  <si>
    <t>OGAN KOMERING ULU</t>
  </si>
  <si>
    <t>OGAN KOMERING ULU SELATAN</t>
  </si>
  <si>
    <t>OGAN KOMERING ULU TIMUR</t>
  </si>
  <si>
    <t>Sedang proses Perbup ttg PLP2B TA 2022 dari APBD 2</t>
  </si>
  <si>
    <t>PENUKAL ABAB LEMATANG ILIR</t>
  </si>
  <si>
    <t xml:space="preserve">SUMATERA SELATAN  </t>
  </si>
  <si>
    <t>BENGKULU SELATAN</t>
  </si>
  <si>
    <t>Perda No. 8 Tahun 2011</t>
  </si>
  <si>
    <t>Perda PLP2B sedang berproses dan diintegrasi dengan LSD</t>
  </si>
  <si>
    <t>BENGKULU TENGAH</t>
  </si>
  <si>
    <t xml:space="preserve">Luas LP2B sedang diverifikasi (sekitar 1. 513,20 Ha) berdasarkan Perda PLP2B </t>
  </si>
  <si>
    <t>BENGKULU UTARA</t>
  </si>
  <si>
    <t>Perda No. 11 Tahun 2015</t>
  </si>
  <si>
    <t>KAUR</t>
  </si>
  <si>
    <t>KEPAHIANG</t>
  </si>
  <si>
    <t>KOTA BENGKULU</t>
  </si>
  <si>
    <t>Proses Perda PLP2B akan dilengkapi spasial LP2B 462 Ha</t>
  </si>
  <si>
    <t>LEBONG</t>
  </si>
  <si>
    <t>MUKO-MUKO</t>
  </si>
  <si>
    <t>Dalam RTRW LP2B diatur dengan Peraturan Bupati</t>
  </si>
  <si>
    <t>REJANG LEBONG</t>
  </si>
  <si>
    <t>Sedang proses Perda PLP2B dengan spasial LP2B 5.553 Ha</t>
  </si>
  <si>
    <t>SELUMA</t>
  </si>
  <si>
    <t>Sedang proses Perda PLP2B dengan spasial LP2B 6.551 Ha</t>
  </si>
  <si>
    <t xml:space="preserve">BENGKULU  </t>
  </si>
  <si>
    <t>KOTA BANDAR LAMPUNG</t>
  </si>
  <si>
    <t>Perwali No. 20 Tahun 2015</t>
  </si>
  <si>
    <t>KOTA METRO</t>
  </si>
  <si>
    <t>Perda No. 21 Tahun 2016</t>
  </si>
  <si>
    <t>LAMPUNG BARAT</t>
  </si>
  <si>
    <t>LAMPUNG SELATAN</t>
  </si>
  <si>
    <t>LAMPUNG TENGAH</t>
  </si>
  <si>
    <t>LAMPUNG TIMUR</t>
  </si>
  <si>
    <t>LAMPUNG UTARA</t>
  </si>
  <si>
    <t>MESUJI</t>
  </si>
  <si>
    <t>Perda No. 6 tahun 2012</t>
  </si>
  <si>
    <t>Perda No. 05 Tahun 2021</t>
  </si>
  <si>
    <t>PESAWARAN</t>
  </si>
  <si>
    <t>PESISIR BARAT</t>
  </si>
  <si>
    <t>Perda No.8 Tahun 2017</t>
  </si>
  <si>
    <t>Perbup NO 65 Tahun 2022</t>
  </si>
  <si>
    <t>PRINGSEWU</t>
  </si>
  <si>
    <t>TANGGAMUS</t>
  </si>
  <si>
    <t>Perda No. 16 Tahun 2011</t>
  </si>
  <si>
    <t>Perda No. 6 Tahun 2017</t>
  </si>
  <si>
    <t>TULANG BAWANG BARAT</t>
  </si>
  <si>
    <t>TULANGBAWANG</t>
  </si>
  <si>
    <t>Perda No. 5 Tahun 2013</t>
  </si>
  <si>
    <t>Perda No. 02 Tahun 2016</t>
  </si>
  <si>
    <t>WAY KANAN</t>
  </si>
  <si>
    <t>Perda No. 11 Tahun 2011</t>
  </si>
  <si>
    <t xml:space="preserve">LAMPUNG  </t>
  </si>
  <si>
    <t>BANGKA</t>
  </si>
  <si>
    <t>BANGKA BARAT</t>
  </si>
  <si>
    <t>Perbub No.25 Tahun 2022</t>
  </si>
  <si>
    <t>BANGKA SELATAN</t>
  </si>
  <si>
    <t>Perda No. 3 Th 2016</t>
  </si>
  <si>
    <t>BANGKA TENGAH</t>
  </si>
  <si>
    <t>BELITUNG</t>
  </si>
  <si>
    <t>Perda No. Tahun 2014</t>
  </si>
  <si>
    <t>BELITUNG TIMUR</t>
  </si>
  <si>
    <t>Mendelegasikan pada Perbup</t>
  </si>
  <si>
    <t>Peraturan Bupati No.43 Tahun 2018</t>
  </si>
  <si>
    <t>KOTA PANGKAL PINANG</t>
  </si>
  <si>
    <t xml:space="preserve">KEP BANGKA BELITUNG  </t>
  </si>
  <si>
    <t>BINTAN</t>
  </si>
  <si>
    <t>KARIMUN</t>
  </si>
  <si>
    <t>KEPULAUAN ANAMBAS</t>
  </si>
  <si>
    <t>KOTA TANJUNGPINANG</t>
  </si>
  <si>
    <t>KOTA BATAM</t>
  </si>
  <si>
    <t>LINGGA</t>
  </si>
  <si>
    <t>NATUNA</t>
  </si>
  <si>
    <t xml:space="preserve">KEPULAUAN RIAU  </t>
  </si>
  <si>
    <t>BANDUNG</t>
  </si>
  <si>
    <t>Perda No. 27 Tahun 2016</t>
  </si>
  <si>
    <t>Perda No. 1 Tahun 2019</t>
  </si>
  <si>
    <t>2023 Cancel</t>
  </si>
  <si>
    <t>BANDUNG BARAT</t>
  </si>
  <si>
    <t>BEKASI</t>
  </si>
  <si>
    <t>BOGOR</t>
  </si>
  <si>
    <t>Perda No. 11 Tahun 2016</t>
  </si>
  <si>
    <t>CIAMIS</t>
  </si>
  <si>
    <t>CIANJUR</t>
  </si>
  <si>
    <t>Perda No. 17 Tahun 2012</t>
  </si>
  <si>
    <t>Perda No. 4 Tahun 2019</t>
  </si>
  <si>
    <t>CIREBON</t>
  </si>
  <si>
    <t>Perbup No. 32 Tahun 2016</t>
  </si>
  <si>
    <t>GARUT</t>
  </si>
  <si>
    <t>INDRAMAYU</t>
  </si>
  <si>
    <t>KARAWANG</t>
  </si>
  <si>
    <t>KOTA BANDUNG</t>
  </si>
  <si>
    <t>Perda No. 18 Tahun 2011</t>
  </si>
  <si>
    <t>KOTA BANJAR</t>
  </si>
  <si>
    <t>KOTA BEKASI</t>
  </si>
  <si>
    <t>Perda No. 13 Tahun 2011</t>
  </si>
  <si>
    <t>KOTA BOGOR</t>
  </si>
  <si>
    <t>KOTA CIMAHI</t>
  </si>
  <si>
    <t>Perda No. 21 Tahun 2018</t>
  </si>
  <si>
    <t>KOTA CIREBON</t>
  </si>
  <si>
    <t>KOTA DEPOK</t>
  </si>
  <si>
    <t>KOTA SUKABUMI</t>
  </si>
  <si>
    <t>Perda No. 1 Tahun 2016</t>
  </si>
  <si>
    <t>KOTA TASIKMALAYA</t>
  </si>
  <si>
    <t>KUNINGAN</t>
  </si>
  <si>
    <t>Perda No. 26 Tahun 2011</t>
  </si>
  <si>
    <t>MAJALENGKA</t>
  </si>
  <si>
    <t>PANGANDARAN</t>
  </si>
  <si>
    <t>PURWAKARTA</t>
  </si>
  <si>
    <t>SUBANG</t>
  </si>
  <si>
    <t>SUKABUMI</t>
  </si>
  <si>
    <t>SUMEDANG</t>
  </si>
  <si>
    <t>Perda No. 4 Tahun 2018</t>
  </si>
  <si>
    <t>TASIKMALAYA</t>
  </si>
  <si>
    <t>Perda No. 4 Tahun 2016</t>
  </si>
  <si>
    <t xml:space="preserve">JAWA BARAT  </t>
  </si>
  <si>
    <t>BANJARNEGARA</t>
  </si>
  <si>
    <t>No. 2 Tahun 2017</t>
  </si>
  <si>
    <t>BANYUMAS</t>
  </si>
  <si>
    <t>Perda No. 10 Tahun 2011</t>
  </si>
  <si>
    <t>BATANG</t>
  </si>
  <si>
    <t>BLORA</t>
  </si>
  <si>
    <t>BOYOLALI</t>
  </si>
  <si>
    <t>No. 17 Tahun 2016</t>
  </si>
  <si>
    <t>BREBES</t>
  </si>
  <si>
    <t>CILACAP</t>
  </si>
  <si>
    <t>Perbup No. 134 Tahun 2021</t>
  </si>
  <si>
    <t>DEMAK</t>
  </si>
  <si>
    <t>SK No. 520/56 Tahun 2021</t>
  </si>
  <si>
    <t>GROBOGAN</t>
  </si>
  <si>
    <t>No. 50 Tahun 2021</t>
  </si>
  <si>
    <t>SK No. 050/1219 Tahun 2021</t>
  </si>
  <si>
    <t>JEPARA</t>
  </si>
  <si>
    <t>No. 4 Tahun 2014</t>
  </si>
  <si>
    <t>KARANGANYAR</t>
  </si>
  <si>
    <t>KEBUMEN</t>
  </si>
  <si>
    <t>Perda No. 23 Tahun 2012</t>
  </si>
  <si>
    <t>KENDAL</t>
  </si>
  <si>
    <t>No. 11 Th 2020</t>
  </si>
  <si>
    <t>KLATEN</t>
  </si>
  <si>
    <t>KOTA MAGELANG</t>
  </si>
  <si>
    <t>KOTA PEKALONGAN</t>
  </si>
  <si>
    <t>KOTA SALATIGA</t>
  </si>
  <si>
    <t>Perda No. 4 Tahun 2011</t>
  </si>
  <si>
    <t>No. 29 Tahun 2018</t>
  </si>
  <si>
    <t>KOTA SEMARANG</t>
  </si>
  <si>
    <t>KOTA SURAKARTA</t>
  </si>
  <si>
    <t>KOTA TEGAL</t>
  </si>
  <si>
    <t>KUDUS</t>
  </si>
  <si>
    <t>MAGELANG</t>
  </si>
  <si>
    <t>Perda No. 5 Tahun 2011</t>
  </si>
  <si>
    <t>PATI</t>
  </si>
  <si>
    <t>PEKALONGAN</t>
  </si>
  <si>
    <t>PEMALANG</t>
  </si>
  <si>
    <t>SK No. 188.4/299/2022</t>
  </si>
  <si>
    <t>PURBALINGGA</t>
  </si>
  <si>
    <t>PURWOREJO</t>
  </si>
  <si>
    <t>SK No. 160.18/675/2021</t>
  </si>
  <si>
    <t>REMBANG</t>
  </si>
  <si>
    <t>SK No. 521.3/0515/2022</t>
  </si>
  <si>
    <t>SEMARANG</t>
  </si>
  <si>
    <t>Perda No. 6 Tahun 2011</t>
  </si>
  <si>
    <t>SRAGEN</t>
  </si>
  <si>
    <t>SUKOHARJO</t>
  </si>
  <si>
    <t>TEGAL</t>
  </si>
  <si>
    <t>No. 4 Tahun 2018</t>
  </si>
  <si>
    <t>TEMANGGUNG</t>
  </si>
  <si>
    <t>No. 2 Tahun 2014/ No. 4 Tahun 2017</t>
  </si>
  <si>
    <t>WONOGIRI</t>
  </si>
  <si>
    <t>WONOSOBO</t>
  </si>
  <si>
    <t xml:space="preserve">JAWA TENGAH  </t>
  </si>
  <si>
    <t>BANTUL</t>
  </si>
  <si>
    <t>Revisi RTRW</t>
  </si>
  <si>
    <t>GUNUNG KIDUL</t>
  </si>
  <si>
    <t>No. 23 Tahun 2012</t>
  </si>
  <si>
    <t>KOTA YOGYAKARTA</t>
  </si>
  <si>
    <t>KULON PROGO</t>
  </si>
  <si>
    <r>
      <rPr>
        <sz val="11"/>
        <color rgb="FF000000"/>
        <rFont val="Gill Sans"/>
      </rPr>
      <t xml:space="preserve">SK </t>
    </r>
    <r>
      <rPr>
        <u/>
        <sz val="11"/>
        <color rgb="FF0563C1"/>
        <rFont val="Gill Sans"/>
      </rPr>
      <t>No. 510/A/2021</t>
    </r>
  </si>
  <si>
    <t>SLEMAN</t>
  </si>
  <si>
    <t xml:space="preserve"> No 13 Tahun 2021</t>
  </si>
  <si>
    <t>No. 6 Tahun 2020</t>
  </si>
  <si>
    <t xml:space="preserve">DI YOGYAKARTA  </t>
  </si>
  <si>
    <t>Revisi RTRW Provinsi target selesai April 2023</t>
  </si>
  <si>
    <t>BANGKALAN</t>
  </si>
  <si>
    <t>Perda No. 10 Tahun 2009</t>
  </si>
  <si>
    <t>No. 5 Tahun 2013</t>
  </si>
  <si>
    <t>BANYUWANGI</t>
  </si>
  <si>
    <t>BLITAR</t>
  </si>
  <si>
    <t>BOJONEGORO</t>
  </si>
  <si>
    <t>BONDOWOSO</t>
  </si>
  <si>
    <t>GRESIK</t>
  </si>
  <si>
    <t>No. 7 Tahun 2015</t>
  </si>
  <si>
    <t>JEMBER</t>
  </si>
  <si>
    <t>JOMBANG</t>
  </si>
  <si>
    <t>2023 Cancel / APBD</t>
  </si>
  <si>
    <t>KEDIRI</t>
  </si>
  <si>
    <t>KOTA BATU</t>
  </si>
  <si>
    <t>Perda No. 7 Tahun 2011</t>
  </si>
  <si>
    <t>No. 14 Tahun 2012</t>
  </si>
  <si>
    <t>KOTA BLITAR</t>
  </si>
  <si>
    <t>KOTA KEDIRI</t>
  </si>
  <si>
    <t>No. 8 Tahun 2019</t>
  </si>
  <si>
    <t>KOTA MADIUN</t>
  </si>
  <si>
    <t>KOTA MALANG</t>
  </si>
  <si>
    <t>KOTA MOJOKERTO</t>
  </si>
  <si>
    <t>KOTA PASURUAN</t>
  </si>
  <si>
    <t>KOTA PROBOLINGGO</t>
  </si>
  <si>
    <t>KOTA SURABAYA</t>
  </si>
  <si>
    <t>LAMONGAN</t>
  </si>
  <si>
    <t>No. 12 Tahun 2015</t>
  </si>
  <si>
    <t>LUMAJANG</t>
  </si>
  <si>
    <t>No. 7 Tahun 2018</t>
  </si>
  <si>
    <t>MADIUN</t>
  </si>
  <si>
    <t>Perbup No. 1 Tahun 2014
SK No 36 Tahun 2021</t>
  </si>
  <si>
    <t>MAGETAN</t>
  </si>
  <si>
    <t>No. 8 Tahun 2021</t>
  </si>
  <si>
    <t>MALANG</t>
  </si>
  <si>
    <t>Perda No. 3 Tahun 2010</t>
  </si>
  <si>
    <t>No. 6 Tahun 2015</t>
  </si>
  <si>
    <t>MOJOKERTO</t>
  </si>
  <si>
    <t>No. 6 Tahun 2013</t>
  </si>
  <si>
    <t>NGANJUK</t>
  </si>
  <si>
    <t>APBD</t>
  </si>
  <si>
    <t>NGAWI</t>
  </si>
  <si>
    <t>No. 11 Tahun 2012</t>
  </si>
  <si>
    <t>PACITAN</t>
  </si>
  <si>
    <t>PAMEKASAN</t>
  </si>
  <si>
    <t>Perda No. 16 Tahun 2012</t>
  </si>
  <si>
    <t>PASURUAN</t>
  </si>
  <si>
    <t>PONOROGO</t>
  </si>
  <si>
    <t>PROBOLINGGO</t>
  </si>
  <si>
    <t>No. 10 Th 2015/ Perbup No 60 Th 2020</t>
  </si>
  <si>
    <t>SAMPANG</t>
  </si>
  <si>
    <t>SIDOARJO</t>
  </si>
  <si>
    <t>SITUBONDO</t>
  </si>
  <si>
    <t xml:space="preserve"> No 9 Tahun 2013</t>
  </si>
  <si>
    <t>SUMENEP</t>
  </si>
  <si>
    <t xml:space="preserve"> No 12 Tahun 2013</t>
  </si>
  <si>
    <t>No. 188 Tahun 2022</t>
  </si>
  <si>
    <t>TRENGGALEK</t>
  </si>
  <si>
    <t>No. 55 Tahun 2019</t>
  </si>
  <si>
    <t>TUBAN</t>
  </si>
  <si>
    <t>TULUNGAGUNG</t>
  </si>
  <si>
    <t>No. 18 Tahun 2012</t>
  </si>
  <si>
    <t xml:space="preserve">JAWA TIMUR  </t>
  </si>
  <si>
    <t>KOTA CILEGON</t>
  </si>
  <si>
    <t>KOTA SERANG</t>
  </si>
  <si>
    <t>No. 2 Tahun 2022</t>
  </si>
  <si>
    <t>KOTA TANGERANG</t>
  </si>
  <si>
    <t>KOTA TANGERANG SELATAN</t>
  </si>
  <si>
    <t>LEBAK</t>
  </si>
  <si>
    <t>No. 57 Tahun 2021</t>
  </si>
  <si>
    <t>PANDEGLANG</t>
  </si>
  <si>
    <t>SERANG</t>
  </si>
  <si>
    <t>TANGERANG</t>
  </si>
  <si>
    <t xml:space="preserve">BANTEN  </t>
  </si>
  <si>
    <t>BADUNG</t>
  </si>
  <si>
    <t>BANGLI</t>
  </si>
  <si>
    <t>Perda LP2B menjelaskan penetapan LP2B dalam RTRW</t>
  </si>
  <si>
    <t>BULELENG</t>
  </si>
  <si>
    <t>Perda No.4 Tahun 2021</t>
  </si>
  <si>
    <t>GIANYAR</t>
  </si>
  <si>
    <t>No. 1 Tahun 2020</t>
  </si>
  <si>
    <t>JEMBRANA</t>
  </si>
  <si>
    <t>No. 5 Tahun 2015</t>
  </si>
  <si>
    <t>KARANGASEM</t>
  </si>
  <si>
    <t>2020/2023 Cancel</t>
  </si>
  <si>
    <t>KLUNGKUNG</t>
  </si>
  <si>
    <t>Perda No 1 Tahun 2013</t>
  </si>
  <si>
    <t>KOTA DENPASAR</t>
  </si>
  <si>
    <t>TABANAN</t>
  </si>
  <si>
    <t>No. 10 Tahun 2016</t>
  </si>
  <si>
    <t xml:space="preserve">BALI  </t>
  </si>
  <si>
    <t>BIMA</t>
  </si>
  <si>
    <t>DOMPU</t>
  </si>
  <si>
    <t xml:space="preserve">KOTA BIMA </t>
  </si>
  <si>
    <t>No. 1  Tahun 2022</t>
  </si>
  <si>
    <t>KOTA MATARAM</t>
  </si>
  <si>
    <t>LOMBOK BARAT</t>
  </si>
  <si>
    <t>LOMBOK TENGAH</t>
  </si>
  <si>
    <t>LOMBOK TIMUR</t>
  </si>
  <si>
    <t>LOMBOK UTARA</t>
  </si>
  <si>
    <t>SUMBAWA</t>
  </si>
  <si>
    <t>SUMBAWA BARAT</t>
  </si>
  <si>
    <t xml:space="preserve">NUSA TENGGARA BARAT  </t>
  </si>
  <si>
    <t>ALOR</t>
  </si>
  <si>
    <t>BELU</t>
  </si>
  <si>
    <t>ENDE</t>
  </si>
  <si>
    <t>FLORES TIMUR</t>
  </si>
  <si>
    <t>KABUPATEN KUPANG</t>
  </si>
  <si>
    <t>KOTA KUPANG</t>
  </si>
  <si>
    <t>LEMBATA</t>
  </si>
  <si>
    <t>MELAKA</t>
  </si>
  <si>
    <t>MANGGARAI</t>
  </si>
  <si>
    <t>Perbup Nomor 74 Tahun 2022</t>
  </si>
  <si>
    <t>MANGGARAI BARAT</t>
  </si>
  <si>
    <t xml:space="preserve"> No 11 Tahun 2021</t>
  </si>
  <si>
    <t>No 1 Th 2015 dirubah No. 3 Th 2018</t>
  </si>
  <si>
    <t>SK No 378/KEP/HK/2022</t>
  </si>
  <si>
    <t>MANGGARAI TIMUR</t>
  </si>
  <si>
    <t>NAGEKEO</t>
  </si>
  <si>
    <t>NGADA</t>
  </si>
  <si>
    <t xml:space="preserve"> No. 6 Tahun 2020</t>
  </si>
  <si>
    <t>ROTE NDAO</t>
  </si>
  <si>
    <t>SABU RAIJUA</t>
  </si>
  <si>
    <t>SIKKA</t>
  </si>
  <si>
    <t>SUMBA BARAT</t>
  </si>
  <si>
    <t>SUMBA BARAT DAYA</t>
  </si>
  <si>
    <t>SUMBA TENGAH</t>
  </si>
  <si>
    <t>SUMBA TIMUR</t>
  </si>
  <si>
    <t>TIMOR TENGAH SELATAN</t>
  </si>
  <si>
    <t>TIMOR TENGAH UTARA</t>
  </si>
  <si>
    <t xml:space="preserve">NUSA TENGGARA TIMUR  </t>
  </si>
  <si>
    <t>BENGKAYANG</t>
  </si>
  <si>
    <t>KAPUAS HULU</t>
  </si>
  <si>
    <t>KAYONG UTARA</t>
  </si>
  <si>
    <t>KETAPANG</t>
  </si>
  <si>
    <t>KOTA PONTIANAK</t>
  </si>
  <si>
    <t>KOTA SINGKAWANG</t>
  </si>
  <si>
    <t>KUBURAYA</t>
  </si>
  <si>
    <t>LANDAK</t>
  </si>
  <si>
    <t xml:space="preserve"> No 1 Tahun 2015</t>
  </si>
  <si>
    <t>No.4 Tahun 2016</t>
  </si>
  <si>
    <t>MELAWI</t>
  </si>
  <si>
    <t>MEMPAWAH</t>
  </si>
  <si>
    <t xml:space="preserve"> No 3 Tahun 2014</t>
  </si>
  <si>
    <t>SAMBAS</t>
  </si>
  <si>
    <t>SANGGAU</t>
  </si>
  <si>
    <t>No. 2 Tahun 2015</t>
  </si>
  <si>
    <t>SEKADAU</t>
  </si>
  <si>
    <t>No. 9 Tahun 2014</t>
  </si>
  <si>
    <t>SINTANG</t>
  </si>
  <si>
    <t xml:space="preserve">KALIMANTAN BARAT  </t>
  </si>
  <si>
    <t>BARITO SELATAN</t>
  </si>
  <si>
    <t>BARITO TIMUR</t>
  </si>
  <si>
    <t>BARITO UTARA</t>
  </si>
  <si>
    <t>GUNUNGMAS</t>
  </si>
  <si>
    <t>KAPUAS</t>
  </si>
  <si>
    <t>KATINGAN</t>
  </si>
  <si>
    <t>KOTA PALANGKARAYA</t>
  </si>
  <si>
    <t>KOTAWARINGIN BARAT</t>
  </si>
  <si>
    <t>KOTAWARINGIN TIMUR</t>
  </si>
  <si>
    <t>LAMANDAU</t>
  </si>
  <si>
    <t>MURUNG RAYA</t>
  </si>
  <si>
    <t>PULANGPISAU</t>
  </si>
  <si>
    <t>SK No 69 Tahun 2023</t>
  </si>
  <si>
    <t>SERUYAN</t>
  </si>
  <si>
    <t>SUKAMARA</t>
  </si>
  <si>
    <t xml:space="preserve">KALIMANTAN TENGAH  </t>
  </si>
  <si>
    <t>BALANGAN</t>
  </si>
  <si>
    <t>No. 20 Tahun 2014</t>
  </si>
  <si>
    <t>BANJAR</t>
  </si>
  <si>
    <t>No. 9 Tahun 2012</t>
  </si>
  <si>
    <t>BARITO KUALA</t>
  </si>
  <si>
    <t>HULU SUNGAI SELATAN</t>
  </si>
  <si>
    <t>HULU SUNGAI TENGAH</t>
  </si>
  <si>
    <t>No. 3 Tahun 2015</t>
  </si>
  <si>
    <t>HULU SUNGAI UTARA</t>
  </si>
  <si>
    <t>No. 5 Tahun 2019</t>
  </si>
  <si>
    <t>KOTA BANJARBARU</t>
  </si>
  <si>
    <t>KOTA BANJARMASIN</t>
  </si>
  <si>
    <t>KOTABARU</t>
  </si>
  <si>
    <t>TABALONG</t>
  </si>
  <si>
    <t>TANAH BUMBU</t>
  </si>
  <si>
    <t>No. 2 Tahun 2019</t>
  </si>
  <si>
    <t>TANAH LAUT</t>
  </si>
  <si>
    <t>SK No. 188.45/1361-KUM/2021</t>
  </si>
  <si>
    <t>TAPIN</t>
  </si>
  <si>
    <t xml:space="preserve">KALIMANTAN SELATAN  </t>
  </si>
  <si>
    <t>BERAU</t>
  </si>
  <si>
    <t>KOTA BALIKPAPAN</t>
  </si>
  <si>
    <t>Perwali RDTR</t>
  </si>
  <si>
    <t>KOTA BONTANG</t>
  </si>
  <si>
    <t>KOTA SAMARINDA</t>
  </si>
  <si>
    <t>KUTAI BARAT</t>
  </si>
  <si>
    <t>KUTAI TIMUR</t>
  </si>
  <si>
    <t>KUTAI KARTANEGARA</t>
  </si>
  <si>
    <t xml:space="preserve"> No. 9 Tahun 2013</t>
  </si>
  <si>
    <t>No. 3 Tahun 2012</t>
  </si>
  <si>
    <t>MAHAKAM ULU</t>
  </si>
  <si>
    <t>PASAR</t>
  </si>
  <si>
    <t>PENAJAM PASER UTARA</t>
  </si>
  <si>
    <t>No. 2 Tahun 2021</t>
  </si>
  <si>
    <t xml:space="preserve">KALIMANTAN TIMUR  </t>
  </si>
  <si>
    <t>BULUNGAN</t>
  </si>
  <si>
    <t>Perbup No. 35 Tahun 2022</t>
  </si>
  <si>
    <t>Ada penyiapan data LP2B, Kaltimtara, dari kajian tersebut sudah ada spasial</t>
  </si>
  <si>
    <t>Ada lampiran</t>
  </si>
  <si>
    <t>Perda RTRW Provinsi KALTARA sedang PK</t>
  </si>
  <si>
    <t>KOTA TARAKAN</t>
  </si>
  <si>
    <t>MALINAU</t>
  </si>
  <si>
    <t>No. 8 Tahun 2014</t>
  </si>
  <si>
    <t>Perbup No. 58 Tahun 2018</t>
  </si>
  <si>
    <t>Perbup tentang LSD</t>
  </si>
  <si>
    <t>NUNUKAN</t>
  </si>
  <si>
    <t>Perda No. 19 Tahun 2013</t>
  </si>
  <si>
    <t>TANA TIDUNG</t>
  </si>
  <si>
    <t xml:space="preserve">KALIMANTAN UTARA  </t>
  </si>
  <si>
    <t xml:space="preserve">BOLAANG MONGONDOW </t>
  </si>
  <si>
    <t>x - APBD</t>
  </si>
  <si>
    <t>BOLAANG MONGONDOW TIMUR</t>
  </si>
  <si>
    <t>BOLAANG MONGONDOW SELATAN</t>
  </si>
  <si>
    <t>Perda No. 17 Tahun 2013</t>
  </si>
  <si>
    <t>No. 18 Tahun 2021</t>
  </si>
  <si>
    <t>BOLAANG MONGONDOW UTARA</t>
  </si>
  <si>
    <t>KEPULAUAN SANGIHE</t>
  </si>
  <si>
    <t>KEPULAUAN TALAUD</t>
  </si>
  <si>
    <t>KOTA BITUNG</t>
  </si>
  <si>
    <t>KOTA KOTAMOBAGU</t>
  </si>
  <si>
    <t>KOTA MANADO</t>
  </si>
  <si>
    <t>KOTA TOMOHON</t>
  </si>
  <si>
    <t>MINAHASA</t>
  </si>
  <si>
    <t>MINAHASA SELATAN</t>
  </si>
  <si>
    <t>SK NO 498 TAHUN 2022</t>
  </si>
  <si>
    <t>MINAHASA TENGGARA</t>
  </si>
  <si>
    <t>MINAHASA UTARA</t>
  </si>
  <si>
    <t xml:space="preserve">SULAWESI UTARA  </t>
  </si>
  <si>
    <t>BANGGAI</t>
  </si>
  <si>
    <t>BANGGAI KEPULAUAN</t>
  </si>
  <si>
    <t>BANGGAI LAUT</t>
  </si>
  <si>
    <t>BUOL</t>
  </si>
  <si>
    <t>No. 26 Tahun 2013</t>
  </si>
  <si>
    <t>DONGGALA</t>
  </si>
  <si>
    <t>KOTA PALU</t>
  </si>
  <si>
    <t>MOROWALI</t>
  </si>
  <si>
    <t xml:space="preserve">Perda No. 7 Tahun 2019 </t>
  </si>
  <si>
    <t>No. 11 Tahun 2015</t>
  </si>
  <si>
    <t>MOROWALI UTARA</t>
  </si>
  <si>
    <t>PARIGI MOUTONG</t>
  </si>
  <si>
    <t>POSO</t>
  </si>
  <si>
    <t>No. 2 Tahun 2013</t>
  </si>
  <si>
    <t>SIGI</t>
  </si>
  <si>
    <t>No. 8 Tahun 2018</t>
  </si>
  <si>
    <t>TOJO UNA-UNA</t>
  </si>
  <si>
    <t>No. 6 Tahun 2016</t>
  </si>
  <si>
    <t>TOLI-TOLI</t>
  </si>
  <si>
    <t xml:space="preserve">SULAWESI TENGAH  </t>
  </si>
  <si>
    <t>BANTAENG</t>
  </si>
  <si>
    <t>SK NO 520/613/XII/2022</t>
  </si>
  <si>
    <t>Sudah Penetapan (Perda Lama)</t>
  </si>
  <si>
    <t>BARRU</t>
  </si>
  <si>
    <t>SK NO 450/DISTAN-KP/XI/2022</t>
  </si>
  <si>
    <t>BONE</t>
  </si>
  <si>
    <t>Revisi (Linsek)</t>
  </si>
  <si>
    <t>BULUKUMBA</t>
  </si>
  <si>
    <t>Perda No. 21 Tahun 2012</t>
  </si>
  <si>
    <t>No. 4 Tahun 2016</t>
  </si>
  <si>
    <t>ENREKANG</t>
  </si>
  <si>
    <t>GOWA</t>
  </si>
  <si>
    <t>No.3 Tahun 2019</t>
  </si>
  <si>
    <t>JENEPONTO</t>
  </si>
  <si>
    <t>Perda No 8 Tahun 2018</t>
  </si>
  <si>
    <t>Sudah Penetapan</t>
  </si>
  <si>
    <t>KEPULAUAN SELAYAR</t>
  </si>
  <si>
    <t>KOTA MAKASSAR</t>
  </si>
  <si>
    <t>Penyusunan RTRW</t>
  </si>
  <si>
    <t>KOTA PALOPO</t>
  </si>
  <si>
    <t>KOTA PAREPARE</t>
  </si>
  <si>
    <t>LUWU</t>
  </si>
  <si>
    <t>No. 5 Tahun 2018</t>
  </si>
  <si>
    <t>LUWU UTARA</t>
  </si>
  <si>
    <t>No. 8 Tahun 2015</t>
  </si>
  <si>
    <t>LUWU TIMUR</t>
  </si>
  <si>
    <t>SK No 291/D-16/XII/2022</t>
  </si>
  <si>
    <t>Penyusunan RTRW (BA)</t>
  </si>
  <si>
    <t>MAROS</t>
  </si>
  <si>
    <t>PANGKAJENE DAN KEPULAUAN</t>
  </si>
  <si>
    <t>No. 10 Tahun 2017</t>
  </si>
  <si>
    <t>PINRANG</t>
  </si>
  <si>
    <t>SIDENRENG RAPPANG</t>
  </si>
  <si>
    <t>No. 9 Tahun 2015</t>
  </si>
  <si>
    <t>SINJAI</t>
  </si>
  <si>
    <t>Perda No. 28 Tahun 2012</t>
  </si>
  <si>
    <t>SOPPENG</t>
  </si>
  <si>
    <t>TAKALAR</t>
  </si>
  <si>
    <t>SK NO 514 Tahun 2022</t>
  </si>
  <si>
    <t>TANA TORAJA</t>
  </si>
  <si>
    <t>TORAJA UTARA</t>
  </si>
  <si>
    <t>No. 14 Tahun 2017</t>
  </si>
  <si>
    <t>Potensi Alokasi 2023</t>
  </si>
  <si>
    <t>WAJO</t>
  </si>
  <si>
    <t xml:space="preserve">SULAWESI SELATAN  </t>
  </si>
  <si>
    <t>BOMBANA</t>
  </si>
  <si>
    <t>Perda No. 20 Tahun 2013</t>
  </si>
  <si>
    <t>No. 12 Tahun 2021</t>
  </si>
  <si>
    <t>BUTON</t>
  </si>
  <si>
    <t>No. 16 Tahun 2022</t>
  </si>
  <si>
    <t>BUTON SELATAN</t>
  </si>
  <si>
    <t>BUTON TENGAH</t>
  </si>
  <si>
    <t>Perda No.  6 Tahun 2020</t>
  </si>
  <si>
    <t>BUTON UTARA</t>
  </si>
  <si>
    <t>Perda No. 51 Tahun 2012</t>
  </si>
  <si>
    <t>Perbup No 35 Tahun 2021</t>
  </si>
  <si>
    <t>KOLAKA</t>
  </si>
  <si>
    <t>KOLAKA TIMUR</t>
  </si>
  <si>
    <t>No. 15 Tahun 2017</t>
  </si>
  <si>
    <t>KOLAKA UTARA</t>
  </si>
  <si>
    <t>KONAWE</t>
  </si>
  <si>
    <t>KONAWE KEPULAUAN</t>
  </si>
  <si>
    <t>KONAWE SELATAN</t>
  </si>
  <si>
    <t>KONAWE UTARA</t>
  </si>
  <si>
    <t>KOTA BAUBAU</t>
  </si>
  <si>
    <t>KOTA KENDARI</t>
  </si>
  <si>
    <t>MUNA</t>
  </si>
  <si>
    <t>MUNA BARAT</t>
  </si>
  <si>
    <t>WAKATOBI</t>
  </si>
  <si>
    <t xml:space="preserve">SULAWESI TENGGARA  </t>
  </si>
  <si>
    <t>BOALEMO</t>
  </si>
  <si>
    <t>BONE BOLANGO</t>
  </si>
  <si>
    <t xml:space="preserve">Perda No. 5 Tahun 2021 </t>
  </si>
  <si>
    <t>No.11 Tahun 2014</t>
  </si>
  <si>
    <t>GORONTALO</t>
  </si>
  <si>
    <t>GORONTALO UTARA</t>
  </si>
  <si>
    <t>KOTA GORONTALO</t>
  </si>
  <si>
    <t xml:space="preserve">Perda No. 9 Tahun 2019 </t>
  </si>
  <si>
    <t>PAHUWATO</t>
  </si>
  <si>
    <t>No. 2 Tahun 2020</t>
  </si>
  <si>
    <t xml:space="preserve">GORONTALO  </t>
  </si>
  <si>
    <t>MAJENE</t>
  </si>
  <si>
    <t>MAMASA</t>
  </si>
  <si>
    <t>No 2 Tahun 2019</t>
  </si>
  <si>
    <t>Penetapan dalam Perbup</t>
  </si>
  <si>
    <t>MAMUJU</t>
  </si>
  <si>
    <t xml:space="preserve">Perda No. 10 Tahun 2019 </t>
  </si>
  <si>
    <t>SK No. 188.45/545/KPTS/XII/2021</t>
  </si>
  <si>
    <t>MAMUJU TENGAH</t>
  </si>
  <si>
    <t>MAMUJU UTARA</t>
  </si>
  <si>
    <t>POLEWALI MANDAR</t>
  </si>
  <si>
    <t>Revisi RTRW, data LP2B akan diintgrasikan ke RTRW</t>
  </si>
  <si>
    <t xml:space="preserve">SULAWESI BARAT  </t>
  </si>
  <si>
    <t xml:space="preserve">Revisi RTRW Provinsi </t>
  </si>
  <si>
    <t>BURU</t>
  </si>
  <si>
    <t>BURU SELATAN</t>
  </si>
  <si>
    <t>KEPULAUAN ARU</t>
  </si>
  <si>
    <t>KOTA AMBON</t>
  </si>
  <si>
    <t>KOTA TUAL</t>
  </si>
  <si>
    <t>MALUKU BARAT DAYA</t>
  </si>
  <si>
    <t>MALUKU TENGAH</t>
  </si>
  <si>
    <t>MALUKU TENGGARA</t>
  </si>
  <si>
    <t>No. 246 Tahun 2021</t>
  </si>
  <si>
    <t>MALUKU TENGGARA BARAT</t>
  </si>
  <si>
    <t>No. 05 Tahun 2019</t>
  </si>
  <si>
    <t>SERAM BAGIAN BARAT</t>
  </si>
  <si>
    <t>Penetapan dalam Perda RTRW</t>
  </si>
  <si>
    <t>SERAM BAGIAN TIMUR</t>
  </si>
  <si>
    <t xml:space="preserve">MALUKU  </t>
  </si>
  <si>
    <t>HALMAHERA BARAT</t>
  </si>
  <si>
    <t>HALMAHERA SELATAN</t>
  </si>
  <si>
    <t>x - APBD 2022</t>
  </si>
  <si>
    <t>ada penetapan LP2B melalui Perda no 16 Tahun 2021, sudah dilengkapi spasial, data akan dikirim</t>
  </si>
  <si>
    <t>HALMAHERA TENGAH</t>
  </si>
  <si>
    <t>HALMAHERA TIMUR</t>
  </si>
  <si>
    <t>HALMAHERA UTARA</t>
  </si>
  <si>
    <t>KEPULAUAN SULA</t>
  </si>
  <si>
    <t>KOTA TERNATE</t>
  </si>
  <si>
    <t>KOTA TIDORE KEPULAUAN</t>
  </si>
  <si>
    <t>ada penetapan LP2B melalui Perda no 05 Tahun 2022, sudah dilengkapi spasial, data akan dikirim</t>
  </si>
  <si>
    <t>PULAU MOROTAI</t>
  </si>
  <si>
    <t>ada penetapan LP2B melalui Perda no  04 Tahun 2022, sudah dilengkapi spasial, data akan dikirim</t>
  </si>
  <si>
    <t>PULAU TALIABU</t>
  </si>
  <si>
    <t xml:space="preserve">MALUKU UTARA  </t>
  </si>
  <si>
    <t>FAK FAK</t>
  </si>
  <si>
    <t>KAIMANA</t>
  </si>
  <si>
    <t>KOTA SORONG</t>
  </si>
  <si>
    <t>MANOKWARI</t>
  </si>
  <si>
    <t>MANOKWARI SELATAN</t>
  </si>
  <si>
    <t>MAYBRAT</t>
  </si>
  <si>
    <t>PEGUNUNGAN ARFAK</t>
  </si>
  <si>
    <t>RAJA AMPAT</t>
  </si>
  <si>
    <t>SORONG</t>
  </si>
  <si>
    <t>SORONG SELATAN</t>
  </si>
  <si>
    <t>TAMBRAUW</t>
  </si>
  <si>
    <t>TELUK BINTUNI</t>
  </si>
  <si>
    <t>TELUK WONDAMA</t>
  </si>
  <si>
    <t xml:space="preserve">PAPUA BARAT  </t>
  </si>
  <si>
    <t>ASMAT</t>
  </si>
  <si>
    <t>BIAK NUMFOR</t>
  </si>
  <si>
    <t>BOVEN DIGOEL</t>
  </si>
  <si>
    <t>DEIYAI</t>
  </si>
  <si>
    <t>DOGIYAI</t>
  </si>
  <si>
    <t>No 17 Tahun 2019</t>
  </si>
  <si>
    <t>INTAN JAYA</t>
  </si>
  <si>
    <t>JAYAPURA</t>
  </si>
  <si>
    <t>Perda No.21 Tahun 2009</t>
  </si>
  <si>
    <t>JAYAWIJAYA</t>
  </si>
  <si>
    <t>KEEROM</t>
  </si>
  <si>
    <t>KEPULAUAN YAPEN</t>
  </si>
  <si>
    <t>Infonya sudah ada penetapan, akan dikonfirmasi ulang</t>
  </si>
  <si>
    <t>KOTA JAYAPURA</t>
  </si>
  <si>
    <t>sudah ada penetapan, menunggu terbit nomor perda LP2B</t>
  </si>
  <si>
    <t>LANNY JAYA</t>
  </si>
  <si>
    <t>MAMBERAMO RAYA</t>
  </si>
  <si>
    <t>MAMBERAMO TENGAH</t>
  </si>
  <si>
    <t>MAPPI</t>
  </si>
  <si>
    <t>MERAUKE</t>
  </si>
  <si>
    <t>No 3 Tahun 2022</t>
  </si>
  <si>
    <t>Sudah ditetapkan melalui Perda LP2B dengan didukung data Spasial</t>
  </si>
  <si>
    <t>MIMIKA</t>
  </si>
  <si>
    <t>Tahap pengumpulan data untuk penetapan LP2B</t>
  </si>
  <si>
    <t>NABIRE</t>
  </si>
  <si>
    <t>NDUGA</t>
  </si>
  <si>
    <t>PANIAI</t>
  </si>
  <si>
    <t>PEGUNUNGAN BINTANG</t>
  </si>
  <si>
    <t>PUNCAK</t>
  </si>
  <si>
    <t>PUNCAK JAYA</t>
  </si>
  <si>
    <t>SARMI</t>
  </si>
  <si>
    <t>SUPIORI</t>
  </si>
  <si>
    <t>TOLIKARA</t>
  </si>
  <si>
    <t>WAROPEN</t>
  </si>
  <si>
    <t>YAHUKIMO</t>
  </si>
  <si>
    <t>YALIMO</t>
  </si>
  <si>
    <t xml:space="preserve">PAPUA  </t>
  </si>
  <si>
    <t>Kabupaten/Kota</t>
  </si>
  <si>
    <t>PERATURAN</t>
  </si>
  <si>
    <t>TOTAL LBS 2019</t>
  </si>
  <si>
    <t>TOTAL LP2B</t>
  </si>
  <si>
    <t>Persentase LP2B Terhadap LBS</t>
  </si>
  <si>
    <t>Luas LBS yang di LP2B kan</t>
  </si>
  <si>
    <t>Persentase LBS yang di LP2B kan</t>
  </si>
  <si>
    <t>LBS yang tidak di LP2B kan</t>
  </si>
  <si>
    <t>%LBS_ NONPLP2B</t>
  </si>
  <si>
    <t>K.Pr</t>
  </si>
  <si>
    <t>K.Kb</t>
  </si>
  <si>
    <t>Spasial</t>
  </si>
  <si>
    <t>Tahun</t>
  </si>
  <si>
    <t>Nomor</t>
  </si>
  <si>
    <t>Prov</t>
  </si>
  <si>
    <t>Kab/Kot</t>
  </si>
  <si>
    <t>Check</t>
  </si>
  <si>
    <t>LBS 686</t>
  </si>
  <si>
    <t>RTRW SPAS</t>
  </si>
  <si>
    <t>RTRW TAHUN</t>
  </si>
  <si>
    <t>RTRW NO</t>
  </si>
  <si>
    <t>RTRW LP2B</t>
  </si>
  <si>
    <t>RTRW LCP2B</t>
  </si>
  <si>
    <t>RTRW KP2B</t>
  </si>
  <si>
    <t>RTRW TOTAL</t>
  </si>
  <si>
    <t>PERDA LP2B</t>
  </si>
  <si>
    <t>TOTA</t>
  </si>
  <si>
    <t>Provinsi Aceh</t>
  </si>
  <si>
    <t>Keputusan Bupati No 44 Tahun 2020</t>
  </si>
  <si>
    <t>SK No. 610 Tahun 2022</t>
  </si>
  <si>
    <t>11.14</t>
  </si>
  <si>
    <t>11.16</t>
  </si>
  <si>
    <t>SK No. 521.5/483/2022</t>
  </si>
  <si>
    <t>11.17</t>
  </si>
  <si>
    <t>11.13</t>
  </si>
  <si>
    <t>11.71</t>
  </si>
  <si>
    <t>11.74</t>
  </si>
  <si>
    <t>Qanun No 6 Tahun 2021</t>
  </si>
  <si>
    <t>11.73</t>
  </si>
  <si>
    <t>11.72</t>
  </si>
  <si>
    <t>11.75</t>
  </si>
  <si>
    <t>11.15</t>
  </si>
  <si>
    <t>11.18</t>
  </si>
  <si>
    <t>Perbup No.43 Tahun 2020</t>
  </si>
  <si>
    <t>Provinsi Sumatera Utara</t>
  </si>
  <si>
    <t>Perda No.12 Tahun 2013</t>
  </si>
  <si>
    <t>12.19</t>
  </si>
  <si>
    <t>12.16</t>
  </si>
  <si>
    <t>12.75</t>
  </si>
  <si>
    <t>12.78</t>
  </si>
  <si>
    <t>Kota Gunung Sitoli</t>
  </si>
  <si>
    <t>12.71</t>
  </si>
  <si>
    <t>12.77</t>
  </si>
  <si>
    <t>12.72</t>
  </si>
  <si>
    <t>Kota Pematang Siantar</t>
  </si>
  <si>
    <t>12.73</t>
  </si>
  <si>
    <t>12.74</t>
  </si>
  <si>
    <t>Kota Tanjungbalai</t>
  </si>
  <si>
    <t>12.76</t>
  </si>
  <si>
    <t>Labuhan Batu</t>
  </si>
  <si>
    <t>12.22</t>
  </si>
  <si>
    <t>Labuhan Batu Selatan</t>
  </si>
  <si>
    <t>12.23</t>
  </si>
  <si>
    <t>Labuhan Batu Utara</t>
  </si>
  <si>
    <t>No. 520-25/K/2021</t>
  </si>
  <si>
    <t>12.13</t>
  </si>
  <si>
    <t>No. 521/0252/K/2022</t>
  </si>
  <si>
    <t>12.25</t>
  </si>
  <si>
    <t>12.14</t>
  </si>
  <si>
    <t>12.24</t>
  </si>
  <si>
    <t>12.21</t>
  </si>
  <si>
    <t>12.20</t>
  </si>
  <si>
    <t>12.15</t>
  </si>
  <si>
    <t>12.17</t>
  </si>
  <si>
    <t>Perbup No.56 Tahun 2022</t>
  </si>
  <si>
    <t>12.18</t>
  </si>
  <si>
    <t>No. 2675/Distan/2021</t>
  </si>
  <si>
    <t>Toba Samosir</t>
  </si>
  <si>
    <t>Provinsi Sumatera Barat</t>
  </si>
  <si>
    <t>Keputusan Bupati No 12 Tahun 2020</t>
  </si>
  <si>
    <t>13.75</t>
  </si>
  <si>
    <t>13.71</t>
  </si>
  <si>
    <t>13.74</t>
  </si>
  <si>
    <t>13.77</t>
  </si>
  <si>
    <t>13.76</t>
  </si>
  <si>
    <t>13.73</t>
  </si>
  <si>
    <t>13.72</t>
  </si>
  <si>
    <t>No. 188.45/519/KPTS-BPT-2021</t>
  </si>
  <si>
    <t>Provinsi Riau</t>
  </si>
  <si>
    <t>14.72</t>
  </si>
  <si>
    <t>Perda No.15 Tahun 2019</t>
  </si>
  <si>
    <t>14.71</t>
  </si>
  <si>
    <t>Provinsi Kepulauan Riau</t>
  </si>
  <si>
    <t>21.71</t>
  </si>
  <si>
    <t>21.72</t>
  </si>
  <si>
    <t>Kota Tanjungpinang</t>
  </si>
  <si>
    <t>Perda No.18 Tahun 2021</t>
  </si>
  <si>
    <t>Provinsi Jambi</t>
  </si>
  <si>
    <t>Batang Hari</t>
  </si>
  <si>
    <t>Keputusan Bupati No.100/TPHBun Tahun 2021</t>
  </si>
  <si>
    <t>15.71</t>
  </si>
  <si>
    <t>15.72</t>
  </si>
  <si>
    <t>Provinsi Bengkulu</t>
  </si>
  <si>
    <t>17.71</t>
  </si>
  <si>
    <t>Mukomuko</t>
  </si>
  <si>
    <t>Muko-Muko</t>
  </si>
  <si>
    <t>Provinsi Sumatera Selatan</t>
  </si>
  <si>
    <t>Banyu Asin</t>
  </si>
  <si>
    <t>16.73</t>
  </si>
  <si>
    <t>Kota Lubuklinggau</t>
  </si>
  <si>
    <t>16.72</t>
  </si>
  <si>
    <t>16.71</t>
  </si>
  <si>
    <t>16.74</t>
  </si>
  <si>
    <t>Keputusan Bupati No. 724/KTPS-TPHP/2021</t>
  </si>
  <si>
    <t>No. 808/KPTS/DISTANNAK/2021</t>
  </si>
  <si>
    <t>16.13</t>
  </si>
  <si>
    <t>Provinsi Kepulauan Bangka Belitung</t>
  </si>
  <si>
    <t>19.71</t>
  </si>
  <si>
    <t>Kota Pangkalpinang</t>
  </si>
  <si>
    <t>Provinsi Lampung</t>
  </si>
  <si>
    <t>18.71</t>
  </si>
  <si>
    <t>18.72</t>
  </si>
  <si>
    <t>B. 413/18-SK/2022</t>
  </si>
  <si>
    <t>B/392/34-LU/HK/2022</t>
  </si>
  <si>
    <t>B/402/I.02/HK/MSJ/2022</t>
  </si>
  <si>
    <t>18.13</t>
  </si>
  <si>
    <t>65 Tahun 2022</t>
  </si>
  <si>
    <t>B.381/22/08/2022</t>
  </si>
  <si>
    <t>Perda No.11 Tahun 2021</t>
  </si>
  <si>
    <t>Tulangbawang</t>
  </si>
  <si>
    <t>B/2727/IV.21/HK/TB/2022</t>
  </si>
  <si>
    <t>Provinsi Banten</t>
  </si>
  <si>
    <t>36.72</t>
  </si>
  <si>
    <t>36.73</t>
  </si>
  <si>
    <t>36.71</t>
  </si>
  <si>
    <t>36.74</t>
  </si>
  <si>
    <t>36.02</t>
  </si>
  <si>
    <t>Perbup No. 21 Tahun 2021</t>
  </si>
  <si>
    <t>36.01</t>
  </si>
  <si>
    <t>36.04</t>
  </si>
  <si>
    <t>36.03</t>
  </si>
  <si>
    <t>Provinsi Jawa Barat</t>
  </si>
  <si>
    <t>32.04</t>
  </si>
  <si>
    <t>32.17</t>
  </si>
  <si>
    <t>32.16</t>
  </si>
  <si>
    <t>32.01</t>
  </si>
  <si>
    <t>32.07</t>
  </si>
  <si>
    <t>No. 521/KPTS.723IIuk/2021</t>
  </si>
  <si>
    <t>32.03</t>
  </si>
  <si>
    <t>No. 521/Kep.34.DTPHPKP/2022</t>
  </si>
  <si>
    <t>32.09</t>
  </si>
  <si>
    <t>32.05</t>
  </si>
  <si>
    <t>32.12</t>
  </si>
  <si>
    <t>SK No. 520/Kep.417-DKPP/2022</t>
  </si>
  <si>
    <t>32.15</t>
  </si>
  <si>
    <t>32.73</t>
  </si>
  <si>
    <t>32.79</t>
  </si>
  <si>
    <t>32.75</t>
  </si>
  <si>
    <t>32.71</t>
  </si>
  <si>
    <t>32.77</t>
  </si>
  <si>
    <t>32.74</t>
  </si>
  <si>
    <t>32.76</t>
  </si>
  <si>
    <t>32.72</t>
  </si>
  <si>
    <t>32.78</t>
  </si>
  <si>
    <t>32.08</t>
  </si>
  <si>
    <t>No. 520/KPTS.592-Diskatan/2021</t>
  </si>
  <si>
    <t>32.10</t>
  </si>
  <si>
    <t>No. 520/KEP.1279-DKP3/2021</t>
  </si>
  <si>
    <t>32.18</t>
  </si>
  <si>
    <t>32.14</t>
  </si>
  <si>
    <t>No. 521.4/Kep.739-Dispangtan/2021</t>
  </si>
  <si>
    <t>32.13</t>
  </si>
  <si>
    <t>No. PT.04.01/Kep.637.Disperta/2021</t>
  </si>
  <si>
    <t>32.02</t>
  </si>
  <si>
    <t>32.11</t>
  </si>
  <si>
    <t>32.06</t>
  </si>
  <si>
    <t>Provinsi Jawa Tengah</t>
  </si>
  <si>
    <t>33.01</t>
  </si>
  <si>
    <t>No. 521/984 Tahun 2021</t>
  </si>
  <si>
    <t>33.02</t>
  </si>
  <si>
    <t>SK No. 521/684/Tahun 2022</t>
  </si>
  <si>
    <t>33.03</t>
  </si>
  <si>
    <t>Perda No 13 Tahun 2019</t>
  </si>
  <si>
    <t>33.04</t>
  </si>
  <si>
    <t>33.05</t>
  </si>
  <si>
    <t>33.06</t>
  </si>
  <si>
    <t>33.07</t>
  </si>
  <si>
    <t>33.08</t>
  </si>
  <si>
    <t>33.09</t>
  </si>
  <si>
    <t>33.10</t>
  </si>
  <si>
    <t>33.11</t>
  </si>
  <si>
    <t>33.12</t>
  </si>
  <si>
    <t>SK No. 521.1/431 Tahun 2022</t>
  </si>
  <si>
    <t>33.13</t>
  </si>
  <si>
    <t>33.14</t>
  </si>
  <si>
    <t>Perda No.10 Tahun 2021</t>
  </si>
  <si>
    <t>33.15</t>
  </si>
  <si>
    <t>33.16</t>
  </si>
  <si>
    <t>No. 180.182/353/KEP/20/2021</t>
  </si>
  <si>
    <t>33.17</t>
  </si>
  <si>
    <t>33.18</t>
  </si>
  <si>
    <t>33.19</t>
  </si>
  <si>
    <t>33.20</t>
  </si>
  <si>
    <t>33.21</t>
  </si>
  <si>
    <t>33.22</t>
  </si>
  <si>
    <t>No. 521.3/0515/2022</t>
  </si>
  <si>
    <t>33.23</t>
  </si>
  <si>
    <t>No. 521/0525/2021</t>
  </si>
  <si>
    <t>33.24</t>
  </si>
  <si>
    <t>33.25</t>
  </si>
  <si>
    <t>33.26</t>
  </si>
  <si>
    <t>No. 050/1374 Tahun 2021</t>
  </si>
  <si>
    <t>33.27</t>
  </si>
  <si>
    <t>33.28</t>
  </si>
  <si>
    <t>Perda No 2 Tahun 2020</t>
  </si>
  <si>
    <t>33.29</t>
  </si>
  <si>
    <t>No. 521/566/2021</t>
  </si>
  <si>
    <t>33.71</t>
  </si>
  <si>
    <t>33.72</t>
  </si>
  <si>
    <t>Perda No. 9 tahun 2020</t>
  </si>
  <si>
    <t>33.73</t>
  </si>
  <si>
    <t>33.74</t>
  </si>
  <si>
    <t>33.75</t>
  </si>
  <si>
    <t>33.76</t>
  </si>
  <si>
    <t>34.02</t>
  </si>
  <si>
    <t>No. 463 Tahun 2021</t>
  </si>
  <si>
    <t>34.03</t>
  </si>
  <si>
    <t>Gunung Kidul</t>
  </si>
  <si>
    <t>No. 588/KPTS/2021</t>
  </si>
  <si>
    <t>34.01</t>
  </si>
  <si>
    <r>
      <rPr>
        <sz val="11"/>
        <color rgb="FF000000"/>
        <rFont val="Arial"/>
      </rPr>
      <t xml:space="preserve">SK </t>
    </r>
    <r>
      <rPr>
        <u/>
        <sz val="11"/>
        <color rgb="FF0563C1"/>
        <rFont val="Arial"/>
      </rPr>
      <t>No. 510/A/2021</t>
    </r>
  </si>
  <si>
    <t>No. 510/A/2021</t>
  </si>
  <si>
    <t>34.04</t>
  </si>
  <si>
    <t>Perda No.13 Tahun 2021</t>
  </si>
  <si>
    <t>34.71</t>
  </si>
  <si>
    <t>Provinsi Jawa Timur</t>
  </si>
  <si>
    <t>35.26</t>
  </si>
  <si>
    <t>No. 188.45/70/Kpts/433.013/2022</t>
  </si>
  <si>
    <t>35.10</t>
  </si>
  <si>
    <t>35.05</t>
  </si>
  <si>
    <t>SK No. 188/516/409,1,2/KPTS/2022</t>
  </si>
  <si>
    <t>35.22</t>
  </si>
  <si>
    <t>35.11</t>
  </si>
  <si>
    <t>35.25</t>
  </si>
  <si>
    <t>35.09</t>
  </si>
  <si>
    <t>SK No. 188.45/472/1.12/2022</t>
  </si>
  <si>
    <t>35.17</t>
  </si>
  <si>
    <t>35.06</t>
  </si>
  <si>
    <t>No. 188.45/445/418.08/2021</t>
  </si>
  <si>
    <t>35.79</t>
  </si>
  <si>
    <t>35.72</t>
  </si>
  <si>
    <t>35.71</t>
  </si>
  <si>
    <t>35.77</t>
  </si>
  <si>
    <t>35.73</t>
  </si>
  <si>
    <t>35.76</t>
  </si>
  <si>
    <t>35.75</t>
  </si>
  <si>
    <t>35.74</t>
  </si>
  <si>
    <t>Perda No.1 Tahun 2020</t>
  </si>
  <si>
    <t>35.78</t>
  </si>
  <si>
    <t>35.24</t>
  </si>
  <si>
    <t>35.08</t>
  </si>
  <si>
    <t>35.19</t>
  </si>
  <si>
    <t>No. 36 Tahun 2021</t>
  </si>
  <si>
    <t>35.20</t>
  </si>
  <si>
    <t>35.07</t>
  </si>
  <si>
    <t>35.16</t>
  </si>
  <si>
    <t>35.18</t>
  </si>
  <si>
    <t>35.21</t>
  </si>
  <si>
    <t>35.01</t>
  </si>
  <si>
    <t>No. 188.45/180/KPTS/408.12/2022</t>
  </si>
  <si>
    <t>35.28</t>
  </si>
  <si>
    <t>35.14</t>
  </si>
  <si>
    <t>35.02</t>
  </si>
  <si>
    <t>35.13</t>
  </si>
  <si>
    <t>Perbup No. 60 Tahun 2020</t>
  </si>
  <si>
    <t>35.27</t>
  </si>
  <si>
    <t>35.15</t>
  </si>
  <si>
    <t>35.12</t>
  </si>
  <si>
    <t>35.29</t>
  </si>
  <si>
    <t>No. 188/151/KEP/435.013/2022</t>
  </si>
  <si>
    <t>35.03</t>
  </si>
  <si>
    <t>Perbup No. 14 tahun 2016</t>
  </si>
  <si>
    <t>35.23</t>
  </si>
  <si>
    <t>Perda No 17 Tahun 2020</t>
  </si>
  <si>
    <t>35.04</t>
  </si>
  <si>
    <t>No. 188.45/483/013/2021</t>
  </si>
  <si>
    <t>Provinsi Bali</t>
  </si>
  <si>
    <t>51.03</t>
  </si>
  <si>
    <t>51.06</t>
  </si>
  <si>
    <t>51.08</t>
  </si>
  <si>
    <t>51.04</t>
  </si>
  <si>
    <t>SK No. 1270/E-7/HK/2022</t>
  </si>
  <si>
    <t>51.01</t>
  </si>
  <si>
    <t>51.07</t>
  </si>
  <si>
    <t>Perda No.17 Tahun 2020</t>
  </si>
  <si>
    <t>51.05</t>
  </si>
  <si>
    <t>51.02</t>
  </si>
  <si>
    <t>SK No. 180/1114/03/HK/2022</t>
  </si>
  <si>
    <t>51.71</t>
  </si>
  <si>
    <t>Provinsi Nusa Tenggara Barat</t>
  </si>
  <si>
    <t>52.06</t>
  </si>
  <si>
    <t>52.05</t>
  </si>
  <si>
    <t>52.72</t>
  </si>
  <si>
    <t>52.71</t>
  </si>
  <si>
    <t>52.01</t>
  </si>
  <si>
    <t>52.02</t>
  </si>
  <si>
    <t>484 Tahun 2022</t>
  </si>
  <si>
    <t>52.03</t>
  </si>
  <si>
    <t>188.45/483/TAN/2022</t>
  </si>
  <si>
    <t>52.08</t>
  </si>
  <si>
    <t>52.04</t>
  </si>
  <si>
    <t>1105 Tahun 2022</t>
  </si>
  <si>
    <t>52.07</t>
  </si>
  <si>
    <t>Provinsi Nusa Tenggara Timur</t>
  </si>
  <si>
    <t>53.05</t>
  </si>
  <si>
    <t>Perda No. 4 Tahun 2020</t>
  </si>
  <si>
    <t>53.04</t>
  </si>
  <si>
    <t>53.08</t>
  </si>
  <si>
    <t>53.06</t>
  </si>
  <si>
    <t>Perda No.2 Tahun 2021</t>
  </si>
  <si>
    <t>53.71</t>
  </si>
  <si>
    <t>53.01</t>
  </si>
  <si>
    <t>Kabupaten Kupang</t>
  </si>
  <si>
    <t>53.13</t>
  </si>
  <si>
    <t>53.21</t>
  </si>
  <si>
    <t>Melaka</t>
  </si>
  <si>
    <t>53.10</t>
  </si>
  <si>
    <t>74 Tahun 2022</t>
  </si>
  <si>
    <t>53.15</t>
  </si>
  <si>
    <t>53.19</t>
  </si>
  <si>
    <t>HK/156/Tahun 2022</t>
  </si>
  <si>
    <t>53.16</t>
  </si>
  <si>
    <t>53.09</t>
  </si>
  <si>
    <t>53.14</t>
  </si>
  <si>
    <t>45 Tahun 2022</t>
  </si>
  <si>
    <t>53.20</t>
  </si>
  <si>
    <t>53.07</t>
  </si>
  <si>
    <t>53.12</t>
  </si>
  <si>
    <t>53.18</t>
  </si>
  <si>
    <t>53.17</t>
  </si>
  <si>
    <t>53.11</t>
  </si>
  <si>
    <t>58 Tahun 2022</t>
  </si>
  <si>
    <t>53.02</t>
  </si>
  <si>
    <t>53.03</t>
  </si>
  <si>
    <t>Provinsi Kalimantan Barat</t>
  </si>
  <si>
    <t>61.07</t>
  </si>
  <si>
    <t>SK No. 595/DKPP/Tahun 2022</t>
  </si>
  <si>
    <t>61.06</t>
  </si>
  <si>
    <t>61.11</t>
  </si>
  <si>
    <t>61.04</t>
  </si>
  <si>
    <t>61.71</t>
  </si>
  <si>
    <t>61.72</t>
  </si>
  <si>
    <t>61.12</t>
  </si>
  <si>
    <t>Kuburaya</t>
  </si>
  <si>
    <t>61.08</t>
  </si>
  <si>
    <t>61.10</t>
  </si>
  <si>
    <t>61.02</t>
  </si>
  <si>
    <t>61.01</t>
  </si>
  <si>
    <t>Perbup No. 71 Tahun 2022</t>
  </si>
  <si>
    <t>61.03</t>
  </si>
  <si>
    <t>61.09</t>
  </si>
  <si>
    <t>61.05</t>
  </si>
  <si>
    <t>Provinsi Kalimantan Selatan</t>
  </si>
  <si>
    <t>63.11</t>
  </si>
  <si>
    <t>No. 188.45/918/Kum Tahun 2021</t>
  </si>
  <si>
    <t>63.03</t>
  </si>
  <si>
    <t>63.04</t>
  </si>
  <si>
    <t>No. 188.45/7/KUM/2022</t>
  </si>
  <si>
    <t>63.06</t>
  </si>
  <si>
    <t>No. 188.45/304/KUM/2021</t>
  </si>
  <si>
    <t>63.07</t>
  </si>
  <si>
    <t>63.08</t>
  </si>
  <si>
    <t>63.72</t>
  </si>
  <si>
    <t>63.71</t>
  </si>
  <si>
    <t>63.02</t>
  </si>
  <si>
    <t>63.09</t>
  </si>
  <si>
    <t>No. 188.45/565/2021</t>
  </si>
  <si>
    <t>63.10</t>
  </si>
  <si>
    <t>63.01</t>
  </si>
  <si>
    <t>No. 188.45/1361-KUM/2021</t>
  </si>
  <si>
    <t>63.05</t>
  </si>
  <si>
    <t>No. 188.45/249/KUM/2021</t>
  </si>
  <si>
    <t>Provinsi Kalimantan Tengah</t>
  </si>
  <si>
    <t>62.04</t>
  </si>
  <si>
    <t>62.13</t>
  </si>
  <si>
    <t>62.05</t>
  </si>
  <si>
    <t>62.10</t>
  </si>
  <si>
    <t>Gunungmas</t>
  </si>
  <si>
    <t>62.03</t>
  </si>
  <si>
    <t>SK No. 537/Distan Tahun 2022</t>
  </si>
  <si>
    <t>62.06</t>
  </si>
  <si>
    <t>SK No. 520/214 Tahun 2022</t>
  </si>
  <si>
    <t>62.71</t>
  </si>
  <si>
    <t>Kota Palangka Raya</t>
  </si>
  <si>
    <t>62.01</t>
  </si>
  <si>
    <t>62.02</t>
  </si>
  <si>
    <t>62.09</t>
  </si>
  <si>
    <t>62.12</t>
  </si>
  <si>
    <t>62.11</t>
  </si>
  <si>
    <t>Pulangpisau</t>
  </si>
  <si>
    <t>62.07</t>
  </si>
  <si>
    <t>62.08</t>
  </si>
  <si>
    <t>Provinsi Kalimantan Timur</t>
  </si>
  <si>
    <t>64.03</t>
  </si>
  <si>
    <t>64.71</t>
  </si>
  <si>
    <t>64.74</t>
  </si>
  <si>
    <t>64.72</t>
  </si>
  <si>
    <t>64.07</t>
  </si>
  <si>
    <t>64.02</t>
  </si>
  <si>
    <t>64.08</t>
  </si>
  <si>
    <t>64.11</t>
  </si>
  <si>
    <t>64.01</t>
  </si>
  <si>
    <t>Pasar</t>
  </si>
  <si>
    <t>64.09</t>
  </si>
  <si>
    <t>Provinsi Kalimantan Utara</t>
  </si>
  <si>
    <t>65.01</t>
  </si>
  <si>
    <t>65.02</t>
  </si>
  <si>
    <t>65.03</t>
  </si>
  <si>
    <t>65.04</t>
  </si>
  <si>
    <t>65.71</t>
  </si>
  <si>
    <t>Provinsi Sulawesi Utara</t>
  </si>
  <si>
    <t>71.01</t>
  </si>
  <si>
    <t>71.11</t>
  </si>
  <si>
    <t>18 Tahun 2022</t>
  </si>
  <si>
    <t>71.10</t>
  </si>
  <si>
    <t>71.08</t>
  </si>
  <si>
    <t>450 Tahun 2022</t>
  </si>
  <si>
    <t>71.03</t>
  </si>
  <si>
    <t>71.09</t>
  </si>
  <si>
    <t>71.04</t>
  </si>
  <si>
    <t>71.72</t>
  </si>
  <si>
    <t>71.74</t>
  </si>
  <si>
    <t>71.71</t>
  </si>
  <si>
    <t>71.73</t>
  </si>
  <si>
    <t>71.02</t>
  </si>
  <si>
    <t>71.05</t>
  </si>
  <si>
    <t>71.07</t>
  </si>
  <si>
    <t>71.06</t>
  </si>
  <si>
    <t>Sulwesi Tengah</t>
  </si>
  <si>
    <t>Provinsi Sulwesi Tengah</t>
  </si>
  <si>
    <t>72.01</t>
  </si>
  <si>
    <t>72.07</t>
  </si>
  <si>
    <t>72.11</t>
  </si>
  <si>
    <t>72.05</t>
  </si>
  <si>
    <t>72.03</t>
  </si>
  <si>
    <t>72.71</t>
  </si>
  <si>
    <t>72.06</t>
  </si>
  <si>
    <t>72.12</t>
  </si>
  <si>
    <t>Perda No. 6 tahun 2020</t>
  </si>
  <si>
    <t>72.08</t>
  </si>
  <si>
    <t>72.02</t>
  </si>
  <si>
    <t>72.10</t>
  </si>
  <si>
    <t>72.09</t>
  </si>
  <si>
    <t>Tojo Una-Una</t>
  </si>
  <si>
    <t>72.04</t>
  </si>
  <si>
    <t>Tolitoli</t>
  </si>
  <si>
    <t>Toli-Toli</t>
  </si>
  <si>
    <t>Provinsi Sulawesi Barat</t>
  </si>
  <si>
    <t>76.05</t>
  </si>
  <si>
    <t>76.03</t>
  </si>
  <si>
    <t>76.02</t>
  </si>
  <si>
    <t>Perda No.10 Tahun 2019</t>
  </si>
  <si>
    <t>76.06</t>
  </si>
  <si>
    <t>Perbup No. 32 Tahun 2021</t>
  </si>
  <si>
    <t>76.01</t>
  </si>
  <si>
    <t>Mamuju Utara</t>
  </si>
  <si>
    <t>76.04</t>
  </si>
  <si>
    <t>Provinsi Sulawesi Selatan</t>
  </si>
  <si>
    <t>73.03</t>
  </si>
  <si>
    <t>520/613/XII/2022</t>
  </si>
  <si>
    <t>73.11</t>
  </si>
  <si>
    <t>450/DISTAN-KP/XI/2022</t>
  </si>
  <si>
    <t>73.08</t>
  </si>
  <si>
    <t>73.02</t>
  </si>
  <si>
    <t>73.16</t>
  </si>
  <si>
    <t>73.06</t>
  </si>
  <si>
    <t>32 Tahun 2022</t>
  </si>
  <si>
    <t>73.04</t>
  </si>
  <si>
    <t>73.01</t>
  </si>
  <si>
    <t>73.71</t>
  </si>
  <si>
    <t>73.73</t>
  </si>
  <si>
    <t>73.72</t>
  </si>
  <si>
    <t>Kota Parepare</t>
  </si>
  <si>
    <t>73.17</t>
  </si>
  <si>
    <t>73.24</t>
  </si>
  <si>
    <t>291/D-16/XII/2022</t>
  </si>
  <si>
    <t>73.22</t>
  </si>
  <si>
    <t>73.09</t>
  </si>
  <si>
    <t>73.10</t>
  </si>
  <si>
    <t>Pangkajene Dan Kepulauan</t>
  </si>
  <si>
    <t>73.15</t>
  </si>
  <si>
    <t>520/550/2022</t>
  </si>
  <si>
    <t>73.14</t>
  </si>
  <si>
    <t>73 Tahun 2022</t>
  </si>
  <si>
    <t>73.07</t>
  </si>
  <si>
    <t>Perda No. 13 Tahun 2017</t>
  </si>
  <si>
    <t>73.12</t>
  </si>
  <si>
    <t>73.05</t>
  </si>
  <si>
    <t>514 Tahun 2022</t>
  </si>
  <si>
    <t>73.18</t>
  </si>
  <si>
    <t>73.26</t>
  </si>
  <si>
    <t>73.13</t>
  </si>
  <si>
    <t>817 Tahun 2022</t>
  </si>
  <si>
    <t>Provinsi Sulawesi Tenggara</t>
  </si>
  <si>
    <t>74.06</t>
  </si>
  <si>
    <t>Perda No.12 Tahun 2021</t>
  </si>
  <si>
    <t>74.04</t>
  </si>
  <si>
    <t>74.15</t>
  </si>
  <si>
    <t>74.14</t>
  </si>
  <si>
    <t>74.10</t>
  </si>
  <si>
    <t>Perbup No. 35 Tahun 2021</t>
  </si>
  <si>
    <t>74.01</t>
  </si>
  <si>
    <t>74.11</t>
  </si>
  <si>
    <t>74.08</t>
  </si>
  <si>
    <t>74.02</t>
  </si>
  <si>
    <t>74.12</t>
  </si>
  <si>
    <t>74.05</t>
  </si>
  <si>
    <t>74.09</t>
  </si>
  <si>
    <t>74.72</t>
  </si>
  <si>
    <t>Kota Baubau</t>
  </si>
  <si>
    <t>74.71</t>
  </si>
  <si>
    <t>74.03</t>
  </si>
  <si>
    <t>74.13</t>
  </si>
  <si>
    <t>74.07</t>
  </si>
  <si>
    <t>Provinsi Gorontalo</t>
  </si>
  <si>
    <t>75.02</t>
  </si>
  <si>
    <t>75.03</t>
  </si>
  <si>
    <t>Perda No 5 Tahun 2021</t>
  </si>
  <si>
    <t>75.01</t>
  </si>
  <si>
    <t>75.05</t>
  </si>
  <si>
    <t>75.71</t>
  </si>
  <si>
    <t>75.04</t>
  </si>
  <si>
    <t>Pahuwato</t>
  </si>
  <si>
    <t>Provinsi Maluku</t>
  </si>
  <si>
    <t>81.04</t>
  </si>
  <si>
    <t>81.09</t>
  </si>
  <si>
    <t>81.07</t>
  </si>
  <si>
    <t>81.03</t>
  </si>
  <si>
    <t>Maluku Tenggara Barat</t>
  </si>
  <si>
    <t>81.71</t>
  </si>
  <si>
    <t>81.72</t>
  </si>
  <si>
    <t>81.08</t>
  </si>
  <si>
    <t>81.01</t>
  </si>
  <si>
    <t>81.02</t>
  </si>
  <si>
    <t>81.06</t>
  </si>
  <si>
    <t>81.05</t>
  </si>
  <si>
    <t>Provinsi Maluku Utara</t>
  </si>
  <si>
    <t>82.01</t>
  </si>
  <si>
    <t>82.04</t>
  </si>
  <si>
    <t>82.02</t>
  </si>
  <si>
    <t>82.06</t>
  </si>
  <si>
    <t>82.03</t>
  </si>
  <si>
    <t>Perbup No.13 Tahun 2022</t>
  </si>
  <si>
    <t>82.05</t>
  </si>
  <si>
    <t>82.71</t>
  </si>
  <si>
    <t>82.72</t>
  </si>
  <si>
    <t>82.07</t>
  </si>
  <si>
    <t>82.08</t>
  </si>
  <si>
    <t>Provinsi Papua Barat</t>
  </si>
  <si>
    <t>92.03</t>
  </si>
  <si>
    <t>92.08</t>
  </si>
  <si>
    <t>92.02</t>
  </si>
  <si>
    <t>92.11</t>
  </si>
  <si>
    <t>92.12</t>
  </si>
  <si>
    <t>92.06</t>
  </si>
  <si>
    <t>92.07</t>
  </si>
  <si>
    <t>Papua Barat Daya/Papua Barat</t>
  </si>
  <si>
    <t>92.71</t>
  </si>
  <si>
    <t>92.10</t>
  </si>
  <si>
    <t>92.05</t>
  </si>
  <si>
    <t>92.01</t>
  </si>
  <si>
    <t>92.04</t>
  </si>
  <si>
    <t>92.09</t>
  </si>
  <si>
    <t>Provinsi Papua</t>
  </si>
  <si>
    <t>91.06</t>
  </si>
  <si>
    <t>91.03</t>
  </si>
  <si>
    <t>91.11</t>
  </si>
  <si>
    <t>91.05</t>
  </si>
  <si>
    <t>91.71</t>
  </si>
  <si>
    <t>91.21</t>
  </si>
  <si>
    <t>91.10</t>
  </si>
  <si>
    <t>91.19</t>
  </si>
  <si>
    <t>91.15</t>
  </si>
  <si>
    <t>Papua Pegunungan/Papua</t>
  </si>
  <si>
    <t>91.02</t>
  </si>
  <si>
    <t>91.23</t>
  </si>
  <si>
    <t>91.24</t>
  </si>
  <si>
    <t>91.12</t>
  </si>
  <si>
    <t>91.14</t>
  </si>
  <si>
    <t>91.13</t>
  </si>
  <si>
    <t>91.22</t>
  </si>
  <si>
    <t>Papua Selatan/Papua</t>
  </si>
  <si>
    <t>91.18</t>
  </si>
  <si>
    <t>91.16</t>
  </si>
  <si>
    <t>91.17</t>
  </si>
  <si>
    <t>91.01</t>
  </si>
  <si>
    <t>Perda No.3 Tahun 2022</t>
  </si>
  <si>
    <t>Papua Tengah/Papua</t>
  </si>
  <si>
    <t>91.28</t>
  </si>
  <si>
    <t>91.26</t>
  </si>
  <si>
    <t>Perda No. 17 Tahun 2019</t>
  </si>
  <si>
    <t>91.27</t>
  </si>
  <si>
    <t>91.09</t>
  </si>
  <si>
    <t>91.04</t>
  </si>
  <si>
    <t>91.08</t>
  </si>
  <si>
    <t>91.25</t>
  </si>
  <si>
    <t>91.07</t>
  </si>
  <si>
    <t>TABEL TOTAL LAHAN BAKU SAWAH BERDASARKAN STATUS KABUPATEN/KOTA DALAM HAL PENETAPAN PERLINDUNGAN LP2B</t>
  </si>
  <si>
    <t>PROVINSI</t>
  </si>
  <si>
    <t>Luas LBS 2019 (SK 686 2019) (Ha)*</t>
  </si>
  <si>
    <t>Penetapan LP2B</t>
  </si>
  <si>
    <t>LSD (Ha)</t>
  </si>
  <si>
    <t>Kab/Kota yang menetapkan</t>
  </si>
  <si>
    <t>Penetapan dengan Spasial</t>
  </si>
  <si>
    <t>Total Penetapan (Ha)</t>
  </si>
  <si>
    <t>Penetapan Tanpa Spasial</t>
  </si>
  <si>
    <t>Kab/Kota</t>
  </si>
  <si>
    <t>Luas LBS (Ha)</t>
  </si>
  <si>
    <t>Total Penetapan</t>
  </si>
  <si>
    <t>Selisih</t>
  </si>
  <si>
    <t xml:space="preserve">Aceh  </t>
  </si>
  <si>
    <t xml:space="preserve">Sumatera Utara  </t>
  </si>
  <si>
    <t xml:space="preserve">Sumatera Barat  </t>
  </si>
  <si>
    <t xml:space="preserve">Riau  </t>
  </si>
  <si>
    <t xml:space="preserve">Jambi  </t>
  </si>
  <si>
    <t xml:space="preserve">Sumatera Selatan  </t>
  </si>
  <si>
    <t xml:space="preserve">Bengkulu  </t>
  </si>
  <si>
    <t xml:space="preserve">Lampung  </t>
  </si>
  <si>
    <t xml:space="preserve">Kep Bangka Belitung  </t>
  </si>
  <si>
    <t xml:space="preserve">Kepulauan Riau  </t>
  </si>
  <si>
    <t xml:space="preserve">Banten  </t>
  </si>
  <si>
    <t xml:space="preserve">Jawa Barat  </t>
  </si>
  <si>
    <t xml:space="preserve">Jawa Tengah  </t>
  </si>
  <si>
    <t xml:space="preserve">Di Yogyakarta  </t>
  </si>
  <si>
    <t xml:space="preserve">Jawa Timur  </t>
  </si>
  <si>
    <t xml:space="preserve">Bali  </t>
  </si>
  <si>
    <t xml:space="preserve">Nusa Tenggara Barat  </t>
  </si>
  <si>
    <t xml:space="preserve">Nusa Tenggara Timur  </t>
  </si>
  <si>
    <t xml:space="preserve">Kalimantan Barat  </t>
  </si>
  <si>
    <t xml:space="preserve">Kalimantan Tengah  </t>
  </si>
  <si>
    <t xml:space="preserve">Kalimantan Selatan  </t>
  </si>
  <si>
    <t xml:space="preserve">Kalimantan Timur  </t>
  </si>
  <si>
    <t xml:space="preserve">Kalimantan Utara  </t>
  </si>
  <si>
    <t xml:space="preserve">Sulawesi Utara  </t>
  </si>
  <si>
    <t xml:space="preserve">Sulawesi Tengah  </t>
  </si>
  <si>
    <t xml:space="preserve">Sulawesi Selatan  </t>
  </si>
  <si>
    <t xml:space="preserve">Sulawesi Tenggara  </t>
  </si>
  <si>
    <t xml:space="preserve">Gorontalo  </t>
  </si>
  <si>
    <t xml:space="preserve">Sulawesi Barat  </t>
  </si>
  <si>
    <t xml:space="preserve">Maluku  </t>
  </si>
  <si>
    <t xml:space="preserve">Maluku Utara  </t>
  </si>
  <si>
    <t xml:space="preserve">Papua Barat  </t>
  </si>
  <si>
    <t xml:space="preserve">Papua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</si>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</sst>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_-;\-* #,##0_-;_-* &quot;-&quot;_-;_-@"/>
    <numFmt numFmtId="165" formatCode="_(* #,##0_);_(* \(#,##0\);_(* &quot;-&quot;??_);_(@_)"/>
    <numFmt numFmtId="166" formatCode="_-* #,##0_-;\-* #,##0_-;_-* &quot;-&quot;??_-;_-@"/>
    <numFmt numFmtId="167" formatCode="_-* #,##0.00_-;\-* #,##0.00_-;_-* &quot;-&quot;??_-;_-@"/>
    <numFmt numFmtId="168" formatCode="_(* #,##0.000_);_(* \(#,##0.000\);_(* &quot;-&quot;??.000_);_(@_)"/>
    <numFmt numFmtId="169" formatCode="#,##0;\(#,##0\)"/>
    <numFmt numFmtId="170" formatCode="_(* #,##0.00_);_(* \(#,##0.00\);_(* &quot;-&quot;??_);_(@_)"/>
    <numFmt numFmtId="171" formatCode="mm/dd/yy"/>
    <numFmt numFmtId="172" formatCode="_-* #,##0.00_-;\-* #,##0.00_-;_-* &quot;-&quot;_-;_-@"/>
    <numFmt numFmtId="173" formatCode="dd\.mm"/>
    <numFmt numFmtId="174" formatCode="d\.m"/>
  </numFmts>
  <fonts count="42">
    <font>
      <sz val="11"/>
      <color theme="1"/>
      <name val="Calibri"/>
      <scheme val="minor"/>
    </font>
    <font>
      <b/>
      <sz val="11"/>
      <color theme="1"/>
      <name val="Arial"/>
    </font>
    <font>
      <sz val="11"/>
      <name val="Calibri"/>
    </font>
    <font>
      <sz val="11"/>
      <color theme="1"/>
      <name val="Calibri"/>
    </font>
    <font>
      <sz val="8"/>
      <color theme="1"/>
      <name val="Arial"/>
    </font>
    <font>
      <sz val="11"/>
      <color theme="1"/>
      <name val="Arial"/>
    </font>
    <font>
      <sz val="13"/>
      <color rgb="FF0000FF"/>
      <name val="Calibri"/>
      <scheme val="minor"/>
    </font>
    <font>
      <b/>
      <sz val="14"/>
      <color theme="1"/>
      <name val="Calibri"/>
    </font>
    <font>
      <b/>
      <sz val="10"/>
      <color theme="1"/>
      <name val="Arial"/>
    </font>
    <font>
      <sz val="11"/>
      <color theme="1"/>
      <name val="Calibri"/>
      <scheme val="minor"/>
    </font>
    <font>
      <i/>
      <sz val="8"/>
      <color theme="1"/>
      <name val="Arial"/>
    </font>
    <font>
      <b/>
      <sz val="16"/>
      <color theme="1"/>
      <name val="Calibri"/>
    </font>
    <font>
      <b/>
      <sz val="11"/>
      <color rgb="FF000000"/>
      <name val="Arial"/>
    </font>
    <font>
      <sz val="11"/>
      <color rgb="FF000000"/>
      <name val="Arial"/>
    </font>
    <font>
      <u/>
      <sz val="11"/>
      <color theme="1"/>
      <name val="Arial"/>
    </font>
    <font>
      <u/>
      <sz val="11"/>
      <color rgb="FF000000"/>
      <name val="Arial"/>
    </font>
    <font>
      <b/>
      <sz val="18"/>
      <color theme="1"/>
      <name val="Arial"/>
    </font>
    <font>
      <b/>
      <sz val="11"/>
      <color rgb="FF000000"/>
      <name val="Calibri"/>
    </font>
    <font>
      <sz val="11"/>
      <color rgb="FFFF0000"/>
      <name val="Arial"/>
    </font>
    <font>
      <b/>
      <sz val="14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b/>
      <sz val="11"/>
      <color theme="1"/>
      <name val="Gill Sans"/>
    </font>
    <font>
      <sz val="11"/>
      <color theme="1"/>
      <name val="Gill Sans"/>
    </font>
    <font>
      <b/>
      <sz val="11"/>
      <color rgb="FF000000"/>
      <name val="Gill Sans"/>
    </font>
    <font>
      <sz val="10"/>
      <color rgb="FF000000"/>
      <name val="Gill Sans"/>
    </font>
    <font>
      <sz val="11"/>
      <color rgb="FF000000"/>
      <name val="Gill Sans"/>
    </font>
    <font>
      <sz val="10"/>
      <color theme="1"/>
      <name val="Gill Sans"/>
    </font>
    <font>
      <u/>
      <sz val="10"/>
      <color rgb="FF0000FF"/>
      <name val="Gill Sans"/>
    </font>
    <font>
      <u/>
      <sz val="11"/>
      <color rgb="FF0000FF"/>
      <name val="Gill Sans"/>
    </font>
    <font>
      <u/>
      <sz val="11"/>
      <color rgb="FF0563C1"/>
      <name val="Gill Sans"/>
    </font>
    <font>
      <b/>
      <sz val="10"/>
      <color rgb="FF000000"/>
      <name val="Gill Sans"/>
    </font>
    <font>
      <u/>
      <sz val="10"/>
      <color rgb="FF0563C1"/>
      <name val="Gill Sans"/>
    </font>
    <font>
      <b/>
      <sz val="10"/>
      <color theme="1"/>
      <name val="Gill Sans"/>
    </font>
    <font>
      <b/>
      <sz val="12"/>
      <color theme="1"/>
      <name val="Gill Sans"/>
    </font>
    <font>
      <sz val="11"/>
      <color rgb="FFFF0000"/>
      <name val="Gill Sans"/>
    </font>
    <font>
      <sz val="10"/>
      <color rgb="FFFF0000"/>
      <name val="Gill Sans"/>
    </font>
    <font>
      <b/>
      <sz val="11"/>
      <color theme="1"/>
      <name val="Calibri"/>
    </font>
    <font>
      <b/>
      <sz val="11"/>
      <color rgb="FF000000"/>
      <name val="Ara"/>
    </font>
    <font>
      <u/>
      <sz val="11"/>
      <color rgb="FF0000FF"/>
      <name val="Arial"/>
    </font>
    <font>
      <u/>
      <sz val="11"/>
      <color rgb="FF0563C1"/>
      <name val="Arial"/>
    </font>
    <font>
      <sz val="11"/>
      <color rgb="FF000000"/>
      <name val="Ara"/>
    </font>
  </fonts>
  <fills count="33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rgb="FFA9D08E"/>
        <bgColor rgb="FFA9D08E"/>
      </patternFill>
    </fill>
    <fill>
      <patternFill patternType="solid">
        <fgColor rgb="FFFFD965"/>
        <bgColor rgb="FFFFD9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C6E0B4"/>
        <bgColor rgb="FFC6E0B4"/>
      </patternFill>
    </fill>
    <fill>
      <patternFill patternType="solid">
        <fgColor rgb="FFFFE699"/>
        <bgColor rgb="FFFFE699"/>
      </patternFill>
    </fill>
    <fill>
      <patternFill patternType="solid">
        <fgColor rgb="FFF3F3F3"/>
        <bgColor rgb="FFF3F3F3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8EAADB"/>
        <bgColor rgb="FF8EAADB"/>
      </patternFill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rgb="FFA4C2F4"/>
        <bgColor rgb="FFA4C2F4"/>
      </patternFill>
    </fill>
    <fill>
      <patternFill patternType="solid">
        <fgColor rgb="FF4A86E8"/>
        <bgColor rgb="FF4A86E8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60">
    <xf numFmtId="0" fontId="0" fillId="0" borderId="0" xfId="0"/>
    <xf numFmtId="0" fontId="3" fillId="0" borderId="0" xfId="0" applyFont="1"/>
    <xf numFmtId="3" fontId="4" fillId="2" borderId="2" xfId="0" applyNumberFormat="1" applyFont="1" applyFill="1" applyBorder="1" applyAlignment="1">
      <alignment horizontal="center" wrapText="1"/>
    </xf>
    <xf numFmtId="3" fontId="4" fillId="3" borderId="2" xfId="0" applyNumberFormat="1" applyFont="1" applyFill="1" applyBorder="1" applyAlignment="1">
      <alignment horizontal="center" wrapText="1"/>
    </xf>
    <xf numFmtId="3" fontId="4" fillId="4" borderId="2" xfId="0" applyNumberFormat="1" applyFont="1" applyFill="1" applyBorder="1" applyAlignment="1">
      <alignment horizontal="center" wrapText="1"/>
    </xf>
    <xf numFmtId="1" fontId="1" fillId="5" borderId="2" xfId="0" applyNumberFormat="1" applyFont="1" applyFill="1" applyBorder="1" applyAlignment="1">
      <alignment horizontal="center" wrapText="1"/>
    </xf>
    <xf numFmtId="2" fontId="1" fillId="5" borderId="2" xfId="0" applyNumberFormat="1" applyFont="1" applyFill="1" applyBorder="1" applyAlignment="1">
      <alignment wrapText="1"/>
    </xf>
    <xf numFmtId="164" fontId="5" fillId="5" borderId="2" xfId="0" applyNumberFormat="1" applyFont="1" applyFill="1" applyBorder="1" applyAlignment="1">
      <alignment horizontal="right" wrapText="1"/>
    </xf>
    <xf numFmtId="2" fontId="5" fillId="0" borderId="2" xfId="0" applyNumberFormat="1" applyFont="1" applyBorder="1" applyAlignment="1">
      <alignment wrapText="1"/>
    </xf>
    <xf numFmtId="1" fontId="5" fillId="0" borderId="2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5" borderId="2" xfId="0" applyNumberFormat="1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center" wrapText="1"/>
    </xf>
    <xf numFmtId="1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right" wrapText="1"/>
    </xf>
    <xf numFmtId="3" fontId="1" fillId="2" borderId="2" xfId="0" applyNumberFormat="1" applyFont="1" applyFill="1" applyBorder="1" applyAlignment="1">
      <alignment horizontal="right" wrapText="1"/>
    </xf>
    <xf numFmtId="3" fontId="1" fillId="8" borderId="2" xfId="0" applyNumberFormat="1" applyFont="1" applyFill="1" applyBorder="1" applyAlignment="1">
      <alignment horizontal="right" wrapText="1"/>
    </xf>
    <xf numFmtId="0" fontId="5" fillId="0" borderId="0" xfId="0" applyFont="1"/>
    <xf numFmtId="165" fontId="3" fillId="0" borderId="0" xfId="0" applyNumberFormat="1" applyFont="1"/>
    <xf numFmtId="3" fontId="3" fillId="0" borderId="0" xfId="0" applyNumberFormat="1" applyFont="1"/>
    <xf numFmtId="10" fontId="3" fillId="0" borderId="0" xfId="0" applyNumberFormat="1" applyFont="1"/>
    <xf numFmtId="0" fontId="6" fillId="0" borderId="0" xfId="0" applyFont="1"/>
    <xf numFmtId="3" fontId="9" fillId="0" borderId="0" xfId="0" applyNumberFormat="1" applyFont="1"/>
    <xf numFmtId="0" fontId="8" fillId="11" borderId="2" xfId="0" applyFont="1" applyFill="1" applyBorder="1" applyAlignment="1">
      <alignment horizontal="center" vertical="center" wrapText="1"/>
    </xf>
    <xf numFmtId="164" fontId="8" fillId="11" borderId="2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/>
    <xf numFmtId="165" fontId="5" fillId="12" borderId="2" xfId="0" applyNumberFormat="1" applyFont="1" applyFill="1" applyBorder="1"/>
    <xf numFmtId="166" fontId="5" fillId="0" borderId="2" xfId="0" applyNumberFormat="1" applyFont="1" applyBorder="1" applyAlignment="1">
      <alignment horizontal="center" vertical="center"/>
    </xf>
    <xf numFmtId="167" fontId="5" fillId="13" borderId="2" xfId="0" applyNumberFormat="1" applyFont="1" applyFill="1" applyBorder="1" applyAlignment="1">
      <alignment vertical="center"/>
    </xf>
    <xf numFmtId="0" fontId="5" fillId="13" borderId="2" xfId="0" applyFont="1" applyFill="1" applyBorder="1" applyAlignment="1">
      <alignment horizontal="center" vertical="center"/>
    </xf>
    <xf numFmtId="167" fontId="5" fillId="13" borderId="2" xfId="0" applyNumberFormat="1" applyFont="1" applyFill="1" applyBorder="1" applyAlignment="1">
      <alignment horizontal="right" vertical="center"/>
    </xf>
    <xf numFmtId="167" fontId="5" fillId="13" borderId="2" xfId="0" applyNumberFormat="1" applyFont="1" applyFill="1" applyBorder="1" applyAlignment="1">
      <alignment horizontal="center" vertical="center"/>
    </xf>
    <xf numFmtId="167" fontId="5" fillId="14" borderId="2" xfId="0" applyNumberFormat="1" applyFont="1" applyFill="1" applyBorder="1" applyAlignment="1">
      <alignment vertical="center"/>
    </xf>
    <xf numFmtId="167" fontId="5" fillId="0" borderId="0" xfId="0" applyNumberFormat="1" applyFont="1"/>
    <xf numFmtId="167" fontId="5" fillId="13" borderId="3" xfId="0" applyNumberFormat="1" applyFont="1" applyFill="1" applyBorder="1" applyAlignment="1">
      <alignment vertical="center"/>
    </xf>
    <xf numFmtId="0" fontId="5" fillId="13" borderId="3" xfId="0" applyFont="1" applyFill="1" applyBorder="1" applyAlignment="1">
      <alignment horizontal="center" vertical="center"/>
    </xf>
    <xf numFmtId="167" fontId="5" fillId="13" borderId="3" xfId="0" applyNumberFormat="1" applyFont="1" applyFill="1" applyBorder="1" applyAlignment="1">
      <alignment horizontal="right" vertical="center"/>
    </xf>
    <xf numFmtId="167" fontId="5" fillId="13" borderId="3" xfId="0" applyNumberFormat="1" applyFont="1" applyFill="1" applyBorder="1" applyAlignment="1">
      <alignment horizontal="center" vertical="center"/>
    </xf>
    <xf numFmtId="167" fontId="5" fillId="9" borderId="2" xfId="0" applyNumberFormat="1" applyFont="1" applyFill="1" applyBorder="1"/>
    <xf numFmtId="0" fontId="1" fillId="9" borderId="2" xfId="0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right" vertical="center"/>
    </xf>
    <xf numFmtId="167" fontId="1" fillId="9" borderId="2" xfId="0" applyNumberFormat="1" applyFont="1" applyFill="1" applyBorder="1" applyAlignment="1">
      <alignment horizontal="center" vertical="center"/>
    </xf>
    <xf numFmtId="165" fontId="5" fillId="0" borderId="0" xfId="0" applyNumberFormat="1" applyFont="1"/>
    <xf numFmtId="164" fontId="5" fillId="0" borderId="0" xfId="0" applyNumberFormat="1" applyFont="1"/>
    <xf numFmtId="168" fontId="5" fillId="0" borderId="0" xfId="0" applyNumberFormat="1" applyFont="1"/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1" fillId="18" borderId="2" xfId="0" applyNumberFormat="1" applyFont="1" applyFill="1" applyBorder="1" applyAlignment="1">
      <alignment horizontal="center" vertical="center" wrapText="1"/>
    </xf>
    <xf numFmtId="3" fontId="1" fillId="18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1" fillId="19" borderId="4" xfId="0" applyNumberFormat="1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left" vertical="center"/>
    </xf>
    <xf numFmtId="0" fontId="1" fillId="14" borderId="2" xfId="0" applyFont="1" applyFill="1" applyBorder="1" applyAlignment="1">
      <alignment horizontal="center" vertical="center"/>
    </xf>
    <xf numFmtId="164" fontId="1" fillId="14" borderId="2" xfId="0" applyNumberFormat="1" applyFont="1" applyFill="1" applyBorder="1" applyAlignment="1">
      <alignment horizontal="left" vertical="center"/>
    </xf>
    <xf numFmtId="0" fontId="12" fillId="14" borderId="2" xfId="0" applyFont="1" applyFill="1" applyBorder="1" applyAlignment="1">
      <alignment horizontal="center" vertical="center"/>
    </xf>
    <xf numFmtId="164" fontId="12" fillId="14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vertical="center"/>
    </xf>
    <xf numFmtId="0" fontId="1" fillId="14" borderId="2" xfId="0" applyFont="1" applyFill="1" applyBorder="1" applyAlignment="1">
      <alignment vertical="center"/>
    </xf>
    <xf numFmtId="0" fontId="5" fillId="14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9" fontId="5" fillId="14" borderId="2" xfId="0" applyNumberFormat="1" applyFont="1" applyFill="1" applyBorder="1" applyAlignment="1">
      <alignment vertical="center"/>
    </xf>
    <xf numFmtId="164" fontId="5" fillId="14" borderId="2" xfId="0" applyNumberFormat="1" applyFont="1" applyFill="1" applyBorder="1" applyAlignment="1">
      <alignment vertical="center"/>
    </xf>
    <xf numFmtId="0" fontId="13" fillId="13" borderId="2" xfId="0" applyFont="1" applyFill="1" applyBorder="1" applyAlignment="1">
      <alignment horizontal="center" vertical="center"/>
    </xf>
    <xf numFmtId="164" fontId="13" fillId="0" borderId="2" xfId="0" applyNumberFormat="1" applyFont="1" applyBorder="1" applyAlignment="1">
      <alignment horizontal="right" vertical="center"/>
    </xf>
    <xf numFmtId="3" fontId="13" fillId="22" borderId="2" xfId="0" applyNumberFormat="1" applyFont="1" applyFill="1" applyBorder="1" applyAlignment="1">
      <alignment horizontal="center"/>
    </xf>
    <xf numFmtId="0" fontId="13" fillId="23" borderId="2" xfId="0" applyFont="1" applyFill="1" applyBorder="1" applyAlignment="1">
      <alignment horizontal="center"/>
    </xf>
    <xf numFmtId="3" fontId="13" fillId="11" borderId="2" xfId="0" applyNumberFormat="1" applyFont="1" applyFill="1" applyBorder="1" applyAlignment="1">
      <alignment horizontal="center"/>
    </xf>
    <xf numFmtId="49" fontId="5" fillId="14" borderId="2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13" fillId="24" borderId="2" xfId="0" applyFont="1" applyFill="1" applyBorder="1" applyAlignment="1">
      <alignment horizontal="center" vertical="center"/>
    </xf>
    <xf numFmtId="3" fontId="13" fillId="23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vertical="center"/>
    </xf>
    <xf numFmtId="0" fontId="13" fillId="13" borderId="4" xfId="0" applyFont="1" applyFill="1" applyBorder="1" applyAlignment="1">
      <alignment horizontal="center" vertical="center"/>
    </xf>
    <xf numFmtId="0" fontId="13" fillId="24" borderId="4" xfId="0" applyFont="1" applyFill="1" applyBorder="1" applyAlignment="1">
      <alignment horizontal="center" vertical="center"/>
    </xf>
    <xf numFmtId="169" fontId="13" fillId="23" borderId="2" xfId="0" applyNumberFormat="1" applyFont="1" applyFill="1" applyBorder="1" applyAlignment="1">
      <alignment horizontal="center"/>
    </xf>
    <xf numFmtId="3" fontId="13" fillId="22" borderId="2" xfId="0" applyNumberFormat="1" applyFont="1" applyFill="1" applyBorder="1"/>
    <xf numFmtId="0" fontId="13" fillId="23" borderId="2" xfId="0" applyFont="1" applyFill="1" applyBorder="1"/>
    <xf numFmtId="3" fontId="13" fillId="11" borderId="2" xfId="0" applyNumberFormat="1" applyFont="1" applyFill="1" applyBorder="1"/>
    <xf numFmtId="170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13" fillId="23" borderId="2" xfId="0" applyNumberFormat="1" applyFont="1" applyFill="1" applyBorder="1" applyAlignment="1">
      <alignment horizontal="center"/>
    </xf>
    <xf numFmtId="169" fontId="13" fillId="22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vertical="center"/>
    </xf>
    <xf numFmtId="49" fontId="13" fillId="14" borderId="2" xfId="0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3" fontId="13" fillId="23" borderId="2" xfId="0" applyNumberFormat="1" applyFont="1" applyFill="1" applyBorder="1"/>
    <xf numFmtId="165" fontId="5" fillId="0" borderId="2" xfId="0" applyNumberFormat="1" applyFont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164" fontId="13" fillId="0" borderId="2" xfId="0" applyNumberFormat="1" applyFont="1" applyBorder="1" applyAlignment="1">
      <alignment vertical="center"/>
    </xf>
    <xf numFmtId="49" fontId="5" fillId="14" borderId="2" xfId="0" applyNumberFormat="1" applyFont="1" applyFill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4" fontId="17" fillId="0" borderId="2" xfId="0" applyNumberFormat="1" applyFont="1" applyBorder="1"/>
    <xf numFmtId="3" fontId="1" fillId="10" borderId="2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" xfId="0" applyNumberFormat="1" applyFont="1" applyFill="1" applyBorder="1" applyAlignment="1">
      <alignment horizontal="center" vertical="center"/>
    </xf>
    <xf numFmtId="164" fontId="5" fillId="10" borderId="6" xfId="0" applyNumberFormat="1" applyFont="1" applyFill="1" applyBorder="1" applyAlignment="1">
      <alignment horizontal="right" vertical="center"/>
    </xf>
    <xf numFmtId="3" fontId="1" fillId="9" borderId="7" xfId="0" applyNumberFormat="1" applyFont="1" applyFill="1" applyBorder="1" applyAlignment="1">
      <alignment vertical="center"/>
    </xf>
    <xf numFmtId="3" fontId="1" fillId="9" borderId="8" xfId="0" applyNumberFormat="1" applyFont="1" applyFill="1" applyBorder="1" applyAlignment="1">
      <alignment vertical="center"/>
    </xf>
    <xf numFmtId="164" fontId="5" fillId="9" borderId="6" xfId="0" applyNumberFormat="1" applyFont="1" applyFill="1" applyBorder="1" applyAlignment="1">
      <alignment horizontal="right" vertical="center"/>
    </xf>
    <xf numFmtId="3" fontId="1" fillId="9" borderId="9" xfId="0" applyNumberFormat="1" applyFont="1" applyFill="1" applyBorder="1"/>
    <xf numFmtId="3" fontId="1" fillId="9" borderId="8" xfId="0" applyNumberFormat="1" applyFont="1" applyFill="1" applyBorder="1"/>
    <xf numFmtId="10" fontId="1" fillId="15" borderId="7" xfId="0" applyNumberFormat="1" applyFont="1" applyFill="1" applyBorder="1" applyAlignment="1">
      <alignment vertical="center"/>
    </xf>
    <xf numFmtId="10" fontId="1" fillId="15" borderId="2" xfId="0" applyNumberFormat="1" applyFont="1" applyFill="1" applyBorder="1" applyAlignment="1">
      <alignment vertical="center"/>
    </xf>
    <xf numFmtId="164" fontId="5" fillId="9" borderId="11" xfId="0" applyNumberFormat="1" applyFont="1" applyFill="1" applyBorder="1" applyAlignment="1">
      <alignment horizontal="right" vertical="center"/>
    </xf>
    <xf numFmtId="169" fontId="17" fillId="0" borderId="0" xfId="0" applyNumberFormat="1" applyFont="1"/>
    <xf numFmtId="49" fontId="1" fillId="5" borderId="2" xfId="0" applyNumberFormat="1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/>
    </xf>
    <xf numFmtId="16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1" fillId="14" borderId="2" xfId="0" applyNumberFormat="1" applyFont="1" applyFill="1" applyBorder="1" applyAlignment="1">
      <alignment horizontal="center" vertical="center"/>
    </xf>
    <xf numFmtId="49" fontId="12" fillId="14" borderId="2" xfId="0" applyNumberFormat="1" applyFont="1" applyFill="1" applyBorder="1" applyAlignment="1">
      <alignment vertical="center"/>
    </xf>
    <xf numFmtId="169" fontId="1" fillId="14" borderId="2" xfId="0" applyNumberFormat="1" applyFont="1" applyFill="1" applyBorder="1" applyAlignment="1">
      <alignment vertical="center"/>
    </xf>
    <xf numFmtId="49" fontId="5" fillId="13" borderId="2" xfId="0" applyNumberFormat="1" applyFont="1" applyFill="1" applyBorder="1" applyAlignment="1">
      <alignment vertical="center"/>
    </xf>
    <xf numFmtId="169" fontId="5" fillId="14" borderId="2" xfId="0" applyNumberFormat="1" applyFont="1" applyFill="1" applyBorder="1" applyAlignment="1">
      <alignment vertical="center"/>
    </xf>
    <xf numFmtId="10" fontId="5" fillId="14" borderId="2" xfId="0" applyNumberFormat="1" applyFont="1" applyFill="1" applyBorder="1" applyAlignment="1">
      <alignment vertical="center"/>
    </xf>
    <xf numFmtId="10" fontId="13" fillId="14" borderId="2" xfId="0" applyNumberFormat="1" applyFont="1" applyFill="1" applyBorder="1" applyAlignment="1">
      <alignment vertical="center"/>
    </xf>
    <xf numFmtId="169" fontId="13" fillId="14" borderId="2" xfId="0" applyNumberFormat="1" applyFont="1" applyFill="1" applyBorder="1" applyAlignment="1">
      <alignment vertical="center"/>
    </xf>
    <xf numFmtId="169" fontId="18" fillId="14" borderId="2" xfId="0" applyNumberFormat="1" applyFont="1" applyFill="1" applyBorder="1" applyAlignment="1">
      <alignment vertical="center"/>
    </xf>
    <xf numFmtId="49" fontId="13" fillId="13" borderId="2" xfId="0" applyNumberFormat="1" applyFont="1" applyFill="1" applyBorder="1" applyAlignment="1">
      <alignment vertical="center"/>
    </xf>
    <xf numFmtId="169" fontId="5" fillId="0" borderId="2" xfId="0" applyNumberFormat="1" applyFont="1" applyBorder="1" applyAlignment="1">
      <alignment vertical="center"/>
    </xf>
    <xf numFmtId="49" fontId="5" fillId="13" borderId="2" xfId="0" applyNumberFormat="1" applyFont="1" applyFill="1" applyBorder="1" applyAlignment="1">
      <alignment horizontal="left" vertical="center"/>
    </xf>
    <xf numFmtId="169" fontId="19" fillId="14" borderId="2" xfId="0" applyNumberFormat="1" applyFont="1" applyFill="1" applyBorder="1" applyAlignment="1">
      <alignment vertical="center"/>
    </xf>
    <xf numFmtId="0" fontId="19" fillId="14" borderId="2" xfId="0" applyFont="1" applyFill="1" applyBorder="1" applyAlignment="1">
      <alignment vertical="center"/>
    </xf>
    <xf numFmtId="165" fontId="20" fillId="25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5" fontId="20" fillId="26" borderId="2" xfId="0" applyNumberFormat="1" applyFont="1" applyFill="1" applyBorder="1" applyAlignment="1">
      <alignment horizontal="center" vertical="center" wrapText="1"/>
    </xf>
    <xf numFmtId="165" fontId="20" fillId="27" borderId="2" xfId="0" applyNumberFormat="1" applyFont="1" applyFill="1" applyBorder="1" applyAlignment="1">
      <alignment horizontal="center" vertical="center" wrapText="1"/>
    </xf>
    <xf numFmtId="165" fontId="20" fillId="27" borderId="2" xfId="0" applyNumberFormat="1" applyFont="1" applyFill="1" applyBorder="1" applyAlignment="1">
      <alignment horizontal="center" vertical="center"/>
    </xf>
    <xf numFmtId="14" fontId="20" fillId="25" borderId="2" xfId="0" applyNumberFormat="1" applyFont="1" applyFill="1" applyBorder="1" applyAlignment="1">
      <alignment horizontal="center" vertical="center" wrapText="1"/>
    </xf>
    <xf numFmtId="170" fontId="20" fillId="25" borderId="2" xfId="0" applyNumberFormat="1" applyFont="1" applyFill="1" applyBorder="1" applyAlignment="1">
      <alignment horizontal="center" vertical="center" wrapText="1"/>
    </xf>
    <xf numFmtId="0" fontId="20" fillId="25" borderId="2" xfId="0" applyFont="1" applyFill="1" applyBorder="1" applyAlignment="1">
      <alignment horizontal="center" vertical="center"/>
    </xf>
    <xf numFmtId="0" fontId="19" fillId="25" borderId="2" xfId="0" applyFont="1" applyFill="1" applyBorder="1" applyAlignment="1">
      <alignment horizontal="center" vertical="center"/>
    </xf>
    <xf numFmtId="170" fontId="19" fillId="25" borderId="2" xfId="0" applyNumberFormat="1" applyFont="1" applyFill="1" applyBorder="1" applyAlignment="1">
      <alignment horizontal="center" vertical="center"/>
    </xf>
    <xf numFmtId="165" fontId="19" fillId="25" borderId="2" xfId="0" applyNumberFormat="1" applyFont="1" applyFill="1" applyBorder="1" applyAlignment="1">
      <alignment horizontal="center" vertical="center" wrapText="1"/>
    </xf>
    <xf numFmtId="165" fontId="19" fillId="26" borderId="2" xfId="0" applyNumberFormat="1" applyFont="1" applyFill="1" applyBorder="1" applyAlignment="1">
      <alignment horizontal="center" vertical="center" wrapText="1"/>
    </xf>
    <xf numFmtId="165" fontId="21" fillId="26" borderId="2" xfId="0" applyNumberFormat="1" applyFont="1" applyFill="1" applyBorder="1" applyAlignment="1">
      <alignment horizontal="center" vertical="center" wrapText="1"/>
    </xf>
    <xf numFmtId="165" fontId="19" fillId="27" borderId="2" xfId="0" applyNumberFormat="1" applyFont="1" applyFill="1" applyBorder="1" applyAlignment="1">
      <alignment horizontal="center" vertical="center" wrapText="1"/>
    </xf>
    <xf numFmtId="165" fontId="19" fillId="27" borderId="2" xfId="0" applyNumberFormat="1" applyFont="1" applyFill="1" applyBorder="1" applyAlignment="1">
      <alignment horizontal="center" vertical="center"/>
    </xf>
    <xf numFmtId="14" fontId="19" fillId="25" borderId="2" xfId="0" applyNumberFormat="1" applyFont="1" applyFill="1" applyBorder="1" applyAlignment="1">
      <alignment horizontal="center" vertical="center" wrapText="1"/>
    </xf>
    <xf numFmtId="171" fontId="19" fillId="25" borderId="2" xfId="0" applyNumberFormat="1" applyFont="1" applyFill="1" applyBorder="1" applyAlignment="1">
      <alignment horizontal="center" vertical="center" wrapText="1"/>
    </xf>
    <xf numFmtId="171" fontId="19" fillId="25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165" fontId="21" fillId="0" borderId="2" xfId="0" applyNumberFormat="1" applyFont="1" applyBorder="1" applyAlignment="1">
      <alignment horizontal="center" vertical="center" wrapText="1"/>
    </xf>
    <xf numFmtId="165" fontId="21" fillId="0" borderId="2" xfId="0" applyNumberFormat="1" applyFont="1" applyBorder="1" applyAlignment="1">
      <alignment vertical="center"/>
    </xf>
    <xf numFmtId="171" fontId="21" fillId="0" borderId="2" xfId="0" applyNumberFormat="1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14" fontId="21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5" fontId="19" fillId="0" borderId="2" xfId="0" applyNumberFormat="1" applyFont="1" applyBorder="1" applyAlignment="1">
      <alignment horizontal="center" vertical="center" wrapText="1"/>
    </xf>
    <xf numFmtId="170" fontId="21" fillId="0" borderId="2" xfId="0" applyNumberFormat="1" applyFont="1" applyBorder="1" applyAlignment="1">
      <alignment vertical="center"/>
    </xf>
    <xf numFmtId="165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70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171" fontId="21" fillId="0" borderId="0" xfId="0" applyNumberFormat="1" applyFont="1" applyAlignment="1">
      <alignment horizontal="center" vertical="center"/>
    </xf>
    <xf numFmtId="170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4" fontId="21" fillId="0" borderId="0" xfId="0" applyNumberFormat="1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/>
    </xf>
    <xf numFmtId="164" fontId="23" fillId="0" borderId="0" xfId="0" applyNumberFormat="1" applyFont="1"/>
    <xf numFmtId="0" fontId="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2" fillId="28" borderId="2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164" fontId="22" fillId="15" borderId="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28" borderId="2" xfId="0" applyFont="1" applyFill="1" applyBorder="1" applyAlignment="1">
      <alignment horizontal="center" vertical="center" wrapText="1"/>
    </xf>
    <xf numFmtId="164" fontId="22" fillId="12" borderId="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22" fillId="20" borderId="2" xfId="0" applyFont="1" applyFill="1" applyBorder="1" applyAlignment="1">
      <alignment horizontal="center" vertical="center"/>
    </xf>
    <xf numFmtId="0" fontId="22" fillId="29" borderId="2" xfId="0" applyFont="1" applyFill="1" applyBorder="1" applyAlignment="1">
      <alignment horizontal="center" vertical="center"/>
    </xf>
    <xf numFmtId="164" fontId="22" fillId="20" borderId="2" xfId="0" applyNumberFormat="1" applyFont="1" applyFill="1" applyBorder="1" applyAlignment="1">
      <alignment horizontal="center" vertical="center"/>
    </xf>
    <xf numFmtId="0" fontId="22" fillId="28" borderId="2" xfId="0" applyFont="1" applyFill="1" applyBorder="1" applyAlignment="1">
      <alignment horizontal="left" vertical="center"/>
    </xf>
    <xf numFmtId="164" fontId="22" fillId="28" borderId="2" xfId="0" applyNumberFormat="1" applyFont="1" applyFill="1" applyBorder="1" applyAlignment="1">
      <alignment horizontal="center" vertical="center"/>
    </xf>
    <xf numFmtId="164" fontId="22" fillId="29" borderId="2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164" fontId="23" fillId="1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164" fontId="25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0" fontId="23" fillId="14" borderId="2" xfId="0" applyFont="1" applyFill="1" applyBorder="1" applyAlignment="1">
      <alignment horizontal="center" vertical="center"/>
    </xf>
    <xf numFmtId="164" fontId="23" fillId="0" borderId="2" xfId="0" applyNumberFormat="1" applyFont="1" applyBorder="1" applyAlignment="1">
      <alignment horizontal="center" vertical="center"/>
    </xf>
    <xf numFmtId="164" fontId="23" fillId="0" borderId="2" xfId="0" applyNumberFormat="1" applyFont="1" applyBorder="1" applyAlignment="1">
      <alignment horizontal="center"/>
    </xf>
    <xf numFmtId="164" fontId="2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49" fontId="27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3" fillId="0" borderId="2" xfId="0" applyFont="1" applyBorder="1"/>
    <xf numFmtId="0" fontId="23" fillId="0" borderId="2" xfId="0" applyFont="1" applyBorder="1" applyAlignment="1">
      <alignment horizontal="left"/>
    </xf>
    <xf numFmtId="0" fontId="29" fillId="0" borderId="2" xfId="0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/>
    </xf>
    <xf numFmtId="0" fontId="23" fillId="0" borderId="0" xfId="0" applyFont="1"/>
    <xf numFmtId="164" fontId="23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left" vertical="center"/>
    </xf>
    <xf numFmtId="170" fontId="23" fillId="0" borderId="2" xfId="0" applyNumberFormat="1" applyFont="1" applyBorder="1" applyAlignment="1">
      <alignment horizontal="center"/>
    </xf>
    <xf numFmtId="170" fontId="23" fillId="0" borderId="1" xfId="0" applyNumberFormat="1" applyFont="1" applyBorder="1" applyAlignment="1">
      <alignment horizontal="center"/>
    </xf>
    <xf numFmtId="49" fontId="30" fillId="0" borderId="2" xfId="0" applyNumberFormat="1" applyFont="1" applyBorder="1" applyAlignment="1">
      <alignment horizontal="center" vertical="center"/>
    </xf>
    <xf numFmtId="0" fontId="23" fillId="20" borderId="2" xfId="0" applyFont="1" applyFill="1" applyBorder="1" applyAlignment="1">
      <alignment horizontal="center" vertical="center"/>
    </xf>
    <xf numFmtId="0" fontId="22" fillId="20" borderId="2" xfId="0" applyFont="1" applyFill="1" applyBorder="1" applyAlignment="1">
      <alignment horizontal="left" vertical="center"/>
    </xf>
    <xf numFmtId="164" fontId="22" fillId="20" borderId="2" xfId="0" applyNumberFormat="1" applyFont="1" applyFill="1" applyBorder="1" applyAlignment="1">
      <alignment horizontal="left" vertical="center"/>
    </xf>
    <xf numFmtId="0" fontId="24" fillId="20" borderId="4" xfId="0" applyFont="1" applyFill="1" applyBorder="1" applyAlignment="1">
      <alignment horizontal="center"/>
    </xf>
    <xf numFmtId="164" fontId="31" fillId="20" borderId="2" xfId="0" applyNumberFormat="1" applyFont="1" applyFill="1" applyBorder="1" applyAlignment="1">
      <alignment horizontal="center" vertical="center"/>
    </xf>
    <xf numFmtId="49" fontId="31" fillId="20" borderId="2" xfId="0" applyNumberFormat="1" applyFont="1" applyFill="1" applyBorder="1" applyAlignment="1">
      <alignment horizontal="center" vertical="center"/>
    </xf>
    <xf numFmtId="0" fontId="31" fillId="20" borderId="2" xfId="0" applyFont="1" applyFill="1" applyBorder="1" applyAlignment="1">
      <alignment horizontal="center" vertical="center"/>
    </xf>
    <xf numFmtId="164" fontId="24" fillId="20" borderId="2" xfId="0" applyNumberFormat="1" applyFont="1" applyFill="1" applyBorder="1" applyAlignment="1">
      <alignment horizontal="center" vertical="center"/>
    </xf>
    <xf numFmtId="0" fontId="24" fillId="20" borderId="2" xfId="0" applyFont="1" applyFill="1" applyBorder="1" applyAlignment="1">
      <alignment horizontal="center"/>
    </xf>
    <xf numFmtId="0" fontId="23" fillId="20" borderId="2" xfId="0" applyFont="1" applyFill="1" applyBorder="1" applyAlignment="1">
      <alignment horizontal="center"/>
    </xf>
    <xf numFmtId="0" fontId="23" fillId="14" borderId="2" xfId="0" applyFont="1" applyFill="1" applyBorder="1" applyAlignment="1">
      <alignment vertical="center"/>
    </xf>
    <xf numFmtId="164" fontId="27" fillId="0" borderId="2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22" fillId="20" borderId="2" xfId="0" applyFont="1" applyFill="1" applyBorder="1" applyAlignment="1">
      <alignment vertical="center"/>
    </xf>
    <xf numFmtId="164" fontId="22" fillId="20" borderId="2" xfId="0" applyNumberFormat="1" applyFont="1" applyFill="1" applyBorder="1" applyAlignment="1">
      <alignment vertical="center"/>
    </xf>
    <xf numFmtId="0" fontId="22" fillId="20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164" fontId="31" fillId="20" borderId="2" xfId="0" applyNumberFormat="1" applyFont="1" applyFill="1" applyBorder="1" applyAlignment="1">
      <alignment horizontal="right" vertical="center"/>
    </xf>
    <xf numFmtId="164" fontId="22" fillId="20" borderId="2" xfId="0" applyNumberFormat="1" applyFont="1" applyFill="1" applyBorder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164" fontId="31" fillId="0" borderId="2" xfId="0" applyNumberFormat="1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right" vertical="center"/>
    </xf>
    <xf numFmtId="164" fontId="22" fillId="0" borderId="2" xfId="0" applyNumberFormat="1" applyFont="1" applyBorder="1" applyAlignment="1">
      <alignment horizontal="center" vertical="center"/>
    </xf>
    <xf numFmtId="164" fontId="33" fillId="20" borderId="2" xfId="0" applyNumberFormat="1" applyFont="1" applyFill="1" applyBorder="1" applyAlignment="1">
      <alignment horizontal="right" vertical="center"/>
    </xf>
    <xf numFmtId="49" fontId="33" fillId="20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/>
    </xf>
    <xf numFmtId="0" fontId="31" fillId="20" borderId="2" xfId="0" applyFont="1" applyFill="1" applyBorder="1" applyAlignment="1">
      <alignment horizontal="left" vertical="center"/>
    </xf>
    <xf numFmtId="0" fontId="33" fillId="20" borderId="2" xfId="0" applyFont="1" applyFill="1" applyBorder="1" applyAlignment="1">
      <alignment horizontal="left" vertical="center"/>
    </xf>
    <xf numFmtId="164" fontId="22" fillId="0" borderId="2" xfId="0" applyNumberFormat="1" applyFont="1" applyBorder="1" applyAlignment="1">
      <alignment vertical="center"/>
    </xf>
    <xf numFmtId="164" fontId="33" fillId="0" borderId="2" xfId="0" applyNumberFormat="1" applyFont="1" applyBorder="1" applyAlignment="1">
      <alignment horizontal="right" vertical="center"/>
    </xf>
    <xf numFmtId="0" fontId="26" fillId="0" borderId="2" xfId="0" applyFont="1" applyBorder="1"/>
    <xf numFmtId="164" fontId="26" fillId="0" borderId="2" xfId="0" applyNumberFormat="1" applyFont="1" applyBorder="1" applyAlignment="1">
      <alignment horizontal="right"/>
    </xf>
    <xf numFmtId="49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165" fontId="26" fillId="0" borderId="2" xfId="0" applyNumberFormat="1" applyFont="1" applyBorder="1" applyAlignment="1">
      <alignment horizontal="center"/>
    </xf>
    <xf numFmtId="164" fontId="26" fillId="0" borderId="2" xfId="0" applyNumberFormat="1" applyFont="1" applyBorder="1"/>
    <xf numFmtId="0" fontId="26" fillId="0" borderId="1" xfId="0" applyFont="1" applyBorder="1"/>
    <xf numFmtId="165" fontId="23" fillId="0" borderId="2" xfId="0" applyNumberFormat="1" applyFont="1" applyBorder="1" applyAlignment="1">
      <alignment horizontal="center" vertical="center"/>
    </xf>
    <xf numFmtId="165" fontId="23" fillId="0" borderId="2" xfId="0" applyNumberFormat="1" applyFont="1" applyBorder="1" applyAlignment="1">
      <alignment horizontal="center"/>
    </xf>
    <xf numFmtId="165" fontId="23" fillId="0" borderId="1" xfId="0" applyNumberFormat="1" applyFont="1" applyBorder="1" applyAlignment="1">
      <alignment horizontal="center"/>
    </xf>
    <xf numFmtId="0" fontId="34" fillId="20" borderId="2" xfId="0" applyFont="1" applyFill="1" applyBorder="1" applyAlignment="1">
      <alignment horizontal="center" vertical="center"/>
    </xf>
    <xf numFmtId="0" fontId="34" fillId="20" borderId="2" xfId="0" applyFont="1" applyFill="1" applyBorder="1" applyAlignment="1">
      <alignment horizontal="left" vertical="center"/>
    </xf>
    <xf numFmtId="164" fontId="34" fillId="20" borderId="2" xfId="0" applyNumberFormat="1" applyFont="1" applyFill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right" vertical="center"/>
    </xf>
    <xf numFmtId="49" fontId="23" fillId="0" borderId="2" xfId="0" applyNumberFormat="1" applyFont="1" applyBorder="1" applyAlignment="1">
      <alignment horizontal="center" vertical="center"/>
    </xf>
    <xf numFmtId="165" fontId="26" fillId="13" borderId="2" xfId="0" applyNumberFormat="1" applyFont="1" applyFill="1" applyBorder="1" applyAlignment="1">
      <alignment horizontal="center"/>
    </xf>
    <xf numFmtId="0" fontId="26" fillId="0" borderId="2" xfId="0" applyFont="1" applyBorder="1" applyAlignment="1">
      <alignment horizontal="left" vertical="center" wrapText="1"/>
    </xf>
    <xf numFmtId="165" fontId="23" fillId="0" borderId="2" xfId="0" applyNumberFormat="1" applyFont="1" applyBorder="1" applyAlignment="1">
      <alignment horizontal="center" vertical="center" wrapText="1"/>
    </xf>
    <xf numFmtId="164" fontId="35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172" fontId="26" fillId="0" borderId="2" xfId="0" applyNumberFormat="1" applyFont="1" applyBorder="1" applyAlignment="1">
      <alignment horizontal="right" vertical="center"/>
    </xf>
    <xf numFmtId="164" fontId="23" fillId="0" borderId="1" xfId="0" applyNumberFormat="1" applyFont="1" applyBorder="1" applyAlignment="1">
      <alignment horizontal="center"/>
    </xf>
    <xf numFmtId="164" fontId="36" fillId="0" borderId="2" xfId="0" applyNumberFormat="1" applyFont="1" applyBorder="1" applyAlignment="1">
      <alignment horizontal="right" vertical="center"/>
    </xf>
    <xf numFmtId="164" fontId="26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right"/>
    </xf>
    <xf numFmtId="49" fontId="27" fillId="5" borderId="2" xfId="0" applyNumberFormat="1" applyFont="1" applyFill="1" applyBorder="1" applyAlignment="1">
      <alignment horizontal="center" vertical="center"/>
    </xf>
    <xf numFmtId="164" fontId="25" fillId="5" borderId="2" xfId="0" applyNumberFormat="1" applyFont="1" applyFill="1" applyBorder="1" applyAlignment="1">
      <alignment horizontal="right" vertical="center"/>
    </xf>
    <xf numFmtId="0" fontId="23" fillId="19" borderId="2" xfId="0" applyFont="1" applyFill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170" fontId="23" fillId="0" borderId="2" xfId="0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vertical="center"/>
    </xf>
    <xf numFmtId="49" fontId="22" fillId="20" borderId="2" xfId="0" applyNumberFormat="1" applyFont="1" applyFill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/>
    </xf>
    <xf numFmtId="164" fontId="22" fillId="0" borderId="2" xfId="0" applyNumberFormat="1" applyFont="1" applyBorder="1"/>
    <xf numFmtId="0" fontId="22" fillId="0" borderId="2" xfId="0" applyFont="1" applyBorder="1" applyAlignment="1">
      <alignment horizontal="center"/>
    </xf>
    <xf numFmtId="0" fontId="22" fillId="0" borderId="0" xfId="0" applyFont="1"/>
    <xf numFmtId="0" fontId="37" fillId="0" borderId="0" xfId="0" applyFont="1"/>
    <xf numFmtId="49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26" fillId="14" borderId="2" xfId="0" applyFont="1" applyFill="1" applyBorder="1" applyAlignment="1">
      <alignment horizontal="center"/>
    </xf>
    <xf numFmtId="49" fontId="27" fillId="11" borderId="2" xfId="0" applyNumberFormat="1" applyFont="1" applyFill="1" applyBorder="1" applyAlignment="1">
      <alignment horizontal="center" vertical="center"/>
    </xf>
    <xf numFmtId="164" fontId="25" fillId="11" borderId="2" xfId="0" applyNumberFormat="1" applyFont="1" applyFill="1" applyBorder="1" applyAlignment="1">
      <alignment horizontal="right" vertical="center"/>
    </xf>
    <xf numFmtId="0" fontId="26" fillId="13" borderId="4" xfId="0" applyFont="1" applyFill="1" applyBorder="1" applyAlignment="1">
      <alignment horizontal="center"/>
    </xf>
    <xf numFmtId="0" fontId="23" fillId="11" borderId="2" xfId="0" applyFont="1" applyFill="1" applyBorder="1" applyAlignment="1">
      <alignment horizontal="center" vertical="center"/>
    </xf>
    <xf numFmtId="164" fontId="23" fillId="11" borderId="2" xfId="0" applyNumberFormat="1" applyFont="1" applyFill="1" applyBorder="1" applyAlignment="1">
      <alignment horizontal="right" vertical="center"/>
    </xf>
    <xf numFmtId="0" fontId="23" fillId="20" borderId="2" xfId="0" applyFont="1" applyFill="1" applyBorder="1" applyAlignment="1">
      <alignment vertical="center"/>
    </xf>
    <xf numFmtId="164" fontId="23" fillId="20" borderId="2" xfId="0" applyNumberFormat="1" applyFont="1" applyFill="1" applyBorder="1" applyAlignment="1">
      <alignment vertical="center"/>
    </xf>
    <xf numFmtId="49" fontId="25" fillId="20" borderId="2" xfId="0" applyNumberFormat="1" applyFont="1" applyFill="1" applyBorder="1" applyAlignment="1">
      <alignment horizontal="center" vertical="center"/>
    </xf>
    <xf numFmtId="0" fontId="25" fillId="20" borderId="2" xfId="0" applyFont="1" applyFill="1" applyBorder="1" applyAlignment="1">
      <alignment horizontal="left" vertical="center"/>
    </xf>
    <xf numFmtId="164" fontId="25" fillId="20" borderId="2" xfId="0" applyNumberFormat="1" applyFont="1" applyFill="1" applyBorder="1" applyAlignment="1">
      <alignment horizontal="right" vertical="center"/>
    </xf>
    <xf numFmtId="0" fontId="23" fillId="20" borderId="2" xfId="0" applyFont="1" applyFill="1" applyBorder="1" applyAlignment="1">
      <alignment horizontal="left" vertical="center"/>
    </xf>
    <xf numFmtId="164" fontId="23" fillId="20" borderId="2" xfId="0" applyNumberFormat="1" applyFont="1" applyFill="1" applyBorder="1" applyAlignment="1">
      <alignment horizontal="right" vertical="center"/>
    </xf>
    <xf numFmtId="164" fontId="23" fillId="20" borderId="2" xfId="0" applyNumberFormat="1" applyFont="1" applyFill="1" applyBorder="1" applyAlignment="1">
      <alignment horizontal="center" vertical="center"/>
    </xf>
    <xf numFmtId="0" fontId="26" fillId="20" borderId="2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164" fontId="25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164" fontId="23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1" fillId="28" borderId="2" xfId="0" applyFont="1" applyFill="1" applyBorder="1" applyAlignment="1">
      <alignment horizontal="center" vertical="center" wrapText="1"/>
    </xf>
    <xf numFmtId="164" fontId="1" fillId="1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1" fillId="20" borderId="2" xfId="0" applyNumberFormat="1" applyFont="1" applyFill="1" applyBorder="1" applyAlignment="1">
      <alignment horizontal="center" vertical="center"/>
    </xf>
    <xf numFmtId="164" fontId="1" fillId="28" borderId="2" xfId="0" applyNumberFormat="1" applyFont="1" applyFill="1" applyBorder="1" applyAlignment="1">
      <alignment horizontal="center" vertical="center"/>
    </xf>
    <xf numFmtId="164" fontId="1" fillId="29" borderId="2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" fillId="20" borderId="2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0" fontId="12" fillId="20" borderId="2" xfId="0" applyFont="1" applyFill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0" borderId="2" xfId="0" applyFont="1" applyFill="1" applyBorder="1" applyAlignment="1">
      <alignment horizontal="left" vertical="center"/>
    </xf>
    <xf numFmtId="164" fontId="1" fillId="20" borderId="2" xfId="0" applyNumberFormat="1" applyFont="1" applyFill="1" applyBorder="1" applyAlignment="1">
      <alignment horizontal="left" vertical="center"/>
    </xf>
    <xf numFmtId="0" fontId="12" fillId="20" borderId="4" xfId="0" applyFont="1" applyFill="1" applyBorder="1" applyAlignment="1">
      <alignment horizontal="center" vertical="center"/>
    </xf>
    <xf numFmtId="164" fontId="12" fillId="20" borderId="2" xfId="0" applyNumberFormat="1" applyFont="1" applyFill="1" applyBorder="1" applyAlignment="1">
      <alignment horizontal="center" vertical="center"/>
    </xf>
    <xf numFmtId="49" fontId="12" fillId="20" borderId="2" xfId="0" applyNumberFormat="1" applyFont="1" applyFill="1" applyBorder="1" applyAlignment="1">
      <alignment horizontal="center" vertical="center"/>
    </xf>
    <xf numFmtId="0" fontId="12" fillId="20" borderId="2" xfId="0" applyFont="1" applyFill="1" applyBorder="1" applyAlignment="1">
      <alignment horizontal="left" vertical="center"/>
    </xf>
    <xf numFmtId="0" fontId="12" fillId="20" borderId="2" xfId="0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5" fillId="20" borderId="2" xfId="0" applyFont="1" applyFill="1" applyBorder="1" applyAlignment="1">
      <alignment horizontal="center"/>
    </xf>
    <xf numFmtId="0" fontId="5" fillId="0" borderId="2" xfId="0" applyFont="1" applyBorder="1"/>
    <xf numFmtId="173" fontId="5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3" fontId="5" fillId="0" borderId="2" xfId="0" applyNumberFormat="1" applyFont="1" applyBorder="1"/>
    <xf numFmtId="9" fontId="5" fillId="0" borderId="2" xfId="0" applyNumberFormat="1" applyFont="1" applyBorder="1"/>
    <xf numFmtId="17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/>
    </xf>
    <xf numFmtId="9" fontId="5" fillId="0" borderId="2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170" fontId="5" fillId="0" borderId="2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49" fontId="40" fillId="0" borderId="2" xfId="0" applyNumberFormat="1" applyFont="1" applyBorder="1" applyAlignment="1">
      <alignment horizontal="left" vertical="center"/>
    </xf>
    <xf numFmtId="9" fontId="5" fillId="30" borderId="2" xfId="0" applyNumberFormat="1" applyFont="1" applyFill="1" applyBorder="1" applyAlignment="1">
      <alignment vertical="center"/>
    </xf>
    <xf numFmtId="3" fontId="5" fillId="30" borderId="2" xfId="0" applyNumberFormat="1" applyFont="1" applyFill="1" applyBorder="1" applyAlignment="1">
      <alignment vertical="center"/>
    </xf>
    <xf numFmtId="0" fontId="1" fillId="20" borderId="2" xfId="0" applyFont="1" applyFill="1" applyBorder="1" applyAlignment="1">
      <alignment vertical="center"/>
    </xf>
    <xf numFmtId="164" fontId="1" fillId="20" borderId="2" xfId="0" applyNumberFormat="1" applyFont="1" applyFill="1" applyBorder="1" applyAlignment="1">
      <alignment vertical="center"/>
    </xf>
    <xf numFmtId="0" fontId="1" fillId="2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164" fontId="12" fillId="20" borderId="2" xfId="0" applyNumberFormat="1" applyFont="1" applyFill="1" applyBorder="1" applyAlignment="1">
      <alignment horizontal="right" vertical="center"/>
    </xf>
    <xf numFmtId="164" fontId="1" fillId="2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49" fontId="1" fillId="2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41" fillId="0" borderId="2" xfId="0" applyFont="1" applyBorder="1"/>
    <xf numFmtId="3" fontId="41" fillId="0" borderId="1" xfId="0" applyNumberFormat="1" applyFont="1" applyBorder="1"/>
    <xf numFmtId="0" fontId="41" fillId="0" borderId="1" xfId="0" applyFont="1" applyBorder="1"/>
    <xf numFmtId="164" fontId="1" fillId="0" borderId="2" xfId="0" applyNumberFormat="1" applyFont="1" applyBorder="1" applyAlignment="1">
      <alignment vertical="center"/>
    </xf>
    <xf numFmtId="9" fontId="5" fillId="0" borderId="0" xfId="0" applyNumberFormat="1" applyFont="1"/>
    <xf numFmtId="0" fontId="5" fillId="0" borderId="2" xfId="0" applyFont="1" applyBorder="1" applyAlignment="1">
      <alignment horizontal="left"/>
    </xf>
    <xf numFmtId="165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/>
    <xf numFmtId="0" fontId="13" fillId="0" borderId="2" xfId="0" applyFont="1" applyBorder="1"/>
    <xf numFmtId="0" fontId="13" fillId="0" borderId="1" xfId="0" applyFont="1" applyBorder="1"/>
    <xf numFmtId="165" fontId="5" fillId="0" borderId="2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12" fillId="20" borderId="2" xfId="0" applyNumberFormat="1" applyFont="1" applyFill="1" applyBorder="1" applyAlignment="1">
      <alignment horizontal="left" vertical="center"/>
    </xf>
    <xf numFmtId="165" fontId="13" fillId="13" borderId="2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left" vertical="center"/>
    </xf>
    <xf numFmtId="172" fontId="13" fillId="0" borderId="2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right" vertical="center"/>
    </xf>
    <xf numFmtId="49" fontId="5" fillId="5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right" vertical="center"/>
    </xf>
    <xf numFmtId="0" fontId="5" fillId="19" borderId="2" xfId="0" applyFont="1" applyFill="1" applyBorder="1" applyAlignment="1">
      <alignment vertical="center"/>
    </xf>
    <xf numFmtId="164" fontId="12" fillId="0" borderId="2" xfId="0" applyNumberFormat="1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164" fontId="13" fillId="19" borderId="3" xfId="0" applyNumberFormat="1" applyFont="1" applyFill="1" applyBorder="1" applyAlignment="1">
      <alignment horizontal="center" vertical="center"/>
    </xf>
    <xf numFmtId="164" fontId="13" fillId="19" borderId="18" xfId="0" applyNumberFormat="1" applyFont="1" applyFill="1" applyBorder="1" applyAlignment="1">
      <alignment horizontal="center" vertical="center"/>
    </xf>
    <xf numFmtId="164" fontId="13" fillId="19" borderId="4" xfId="0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14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/>
    </xf>
    <xf numFmtId="49" fontId="5" fillId="11" borderId="2" xfId="0" applyNumberFormat="1" applyFont="1" applyFill="1" applyBorder="1" applyAlignment="1">
      <alignment horizontal="center" vertical="center"/>
    </xf>
    <xf numFmtId="164" fontId="13" fillId="11" borderId="2" xfId="0" applyNumberFormat="1" applyFont="1" applyFill="1" applyBorder="1" applyAlignment="1">
      <alignment horizontal="right" vertical="center"/>
    </xf>
    <xf numFmtId="10" fontId="5" fillId="0" borderId="2" xfId="0" applyNumberFormat="1" applyFont="1" applyBorder="1"/>
    <xf numFmtId="0" fontId="5" fillId="17" borderId="2" xfId="0" applyFont="1" applyFill="1" applyBorder="1" applyAlignment="1">
      <alignment vertical="center"/>
    </xf>
    <xf numFmtId="0" fontId="5" fillId="20" borderId="2" xfId="0" applyFont="1" applyFill="1" applyBorder="1" applyAlignment="1">
      <alignment vertical="center"/>
    </xf>
    <xf numFmtId="164" fontId="5" fillId="20" borderId="2" xfId="0" applyNumberFormat="1" applyFont="1" applyFill="1" applyBorder="1" applyAlignment="1">
      <alignment vertical="center"/>
    </xf>
    <xf numFmtId="49" fontId="13" fillId="20" borderId="2" xfId="0" applyNumberFormat="1" applyFont="1" applyFill="1" applyBorder="1" applyAlignment="1">
      <alignment horizontal="center" vertical="center"/>
    </xf>
    <xf numFmtId="0" fontId="13" fillId="20" borderId="2" xfId="0" applyFont="1" applyFill="1" applyBorder="1" applyAlignment="1">
      <alignment horizontal="left" vertical="center"/>
    </xf>
    <xf numFmtId="164" fontId="13" fillId="20" borderId="2" xfId="0" applyNumberFormat="1" applyFont="1" applyFill="1" applyBorder="1" applyAlignment="1">
      <alignment horizontal="right" vertical="center"/>
    </xf>
    <xf numFmtId="0" fontId="5" fillId="20" borderId="2" xfId="0" applyFont="1" applyFill="1" applyBorder="1" applyAlignment="1">
      <alignment horizontal="left" vertical="center"/>
    </xf>
    <xf numFmtId="164" fontId="5" fillId="20" borderId="2" xfId="0" applyNumberFormat="1" applyFont="1" applyFill="1" applyBorder="1" applyAlignment="1">
      <alignment horizontal="right" vertical="center"/>
    </xf>
    <xf numFmtId="164" fontId="5" fillId="20" borderId="2" xfId="0" applyNumberFormat="1" applyFont="1" applyFill="1" applyBorder="1" applyAlignment="1">
      <alignment horizontal="center" vertical="center"/>
    </xf>
    <xf numFmtId="0" fontId="13" fillId="2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right" vertical="center"/>
    </xf>
    <xf numFmtId="0" fontId="5" fillId="31" borderId="2" xfId="0" applyFont="1" applyFill="1" applyBorder="1" applyAlignment="1">
      <alignment vertical="center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1" fillId="18" borderId="2" xfId="0" applyFont="1" applyFill="1" applyBorder="1" applyAlignment="1">
      <alignment horizontal="center" vertical="center" wrapText="1"/>
    </xf>
    <xf numFmtId="164" fontId="1" fillId="18" borderId="2" xfId="0" applyNumberFormat="1" applyFont="1" applyFill="1" applyBorder="1" applyAlignment="1">
      <alignment horizontal="center" vertical="center" wrapText="1"/>
    </xf>
    <xf numFmtId="0" fontId="1" fillId="32" borderId="2" xfId="0" applyFont="1" applyFill="1" applyBorder="1" applyAlignment="1">
      <alignment horizontal="center" vertical="center" wrapText="1"/>
    </xf>
    <xf numFmtId="164" fontId="1" fillId="32" borderId="2" xfId="0" applyNumberFormat="1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 wrapText="1"/>
    </xf>
    <xf numFmtId="164" fontId="1" fillId="27" borderId="2" xfId="0" applyNumberFormat="1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1" fontId="5" fillId="13" borderId="2" xfId="0" applyNumberFormat="1" applyFont="1" applyFill="1" applyBorder="1" applyAlignment="1">
      <alignment horizontal="center"/>
    </xf>
    <xf numFmtId="3" fontId="5" fillId="13" borderId="2" xfId="0" applyNumberFormat="1" applyFont="1" applyFill="1" applyBorder="1" applyAlignment="1">
      <alignment horizontal="right"/>
    </xf>
    <xf numFmtId="164" fontId="5" fillId="13" borderId="2" xfId="0" applyNumberFormat="1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4" borderId="2" xfId="0" applyFont="1" applyFill="1" applyBorder="1"/>
    <xf numFmtId="1" fontId="5" fillId="14" borderId="2" xfId="0" applyNumberFormat="1" applyFont="1" applyFill="1" applyBorder="1" applyAlignment="1">
      <alignment horizontal="center"/>
    </xf>
    <xf numFmtId="164" fontId="5" fillId="14" borderId="2" xfId="0" applyNumberFormat="1" applyFont="1" applyFill="1" applyBorder="1" applyAlignment="1">
      <alignment horizontal="center"/>
    </xf>
    <xf numFmtId="164" fontId="5" fillId="13" borderId="2" xfId="0" applyNumberFormat="1" applyFont="1" applyFill="1" applyBorder="1" applyAlignment="1">
      <alignment horizontal="right"/>
    </xf>
    <xf numFmtId="164" fontId="5" fillId="14" borderId="2" xfId="0" applyNumberFormat="1" applyFont="1" applyFill="1" applyBorder="1" applyAlignment="1">
      <alignment horizontal="right"/>
    </xf>
    <xf numFmtId="164" fontId="3" fillId="13" borderId="2" xfId="0" applyNumberFormat="1" applyFont="1" applyFill="1" applyBorder="1"/>
    <xf numFmtId="49" fontId="5" fillId="13" borderId="2" xfId="0" applyNumberFormat="1" applyFont="1" applyFill="1" applyBorder="1" applyAlignment="1">
      <alignment horizontal="center"/>
    </xf>
    <xf numFmtId="1" fontId="1" fillId="27" borderId="2" xfId="0" applyNumberFormat="1" applyFont="1" applyFill="1" applyBorder="1" applyAlignment="1">
      <alignment horizontal="center"/>
    </xf>
    <xf numFmtId="3" fontId="1" fillId="27" borderId="2" xfId="0" applyNumberFormat="1" applyFont="1" applyFill="1" applyBorder="1" applyAlignment="1">
      <alignment horizontal="right"/>
    </xf>
    <xf numFmtId="0" fontId="1" fillId="27" borderId="2" xfId="0" applyFont="1" applyFill="1" applyBorder="1" applyAlignment="1">
      <alignment horizontal="center"/>
    </xf>
    <xf numFmtId="164" fontId="1" fillId="27" borderId="2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37" fillId="0" borderId="0" xfId="0" applyFont="1" applyAlignment="1">
      <alignment vertical="center"/>
    </xf>
    <xf numFmtId="2" fontId="5" fillId="0" borderId="2" xfId="0" applyNumberFormat="1" applyFont="1" applyBorder="1" applyAlignment="1">
      <alignment horizontal="left" wrapText="1"/>
    </xf>
    <xf numFmtId="0" fontId="4" fillId="3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3" fontId="5" fillId="5" borderId="2" xfId="0" applyNumberFormat="1" applyFont="1" applyFill="1" applyBorder="1"/>
    <xf numFmtId="3" fontId="5" fillId="6" borderId="2" xfId="0" applyNumberFormat="1" applyFont="1" applyFill="1" applyBorder="1"/>
    <xf numFmtId="0" fontId="5" fillId="6" borderId="2" xfId="0" applyFont="1" applyFill="1" applyBorder="1"/>
    <xf numFmtId="3" fontId="5" fillId="7" borderId="2" xfId="0" applyNumberFormat="1" applyFont="1" applyFill="1" applyBorder="1"/>
    <xf numFmtId="0" fontId="5" fillId="7" borderId="2" xfId="0" applyFont="1" applyFill="1" applyBorder="1"/>
    <xf numFmtId="1" fontId="5" fillId="0" borderId="2" xfId="0" applyNumberFormat="1" applyFont="1" applyBorder="1"/>
    <xf numFmtId="164" fontId="5" fillId="5" borderId="2" xfId="0" applyNumberFormat="1" applyFont="1" applyFill="1" applyBorder="1"/>
    <xf numFmtId="0" fontId="5" fillId="5" borderId="2" xfId="0" applyFont="1" applyFill="1" applyBorder="1"/>
    <xf numFmtId="166" fontId="5" fillId="0" borderId="3" xfId="0" applyNumberFormat="1" applyFont="1" applyBorder="1" applyAlignment="1">
      <alignment horizontal="center" vertical="center"/>
    </xf>
    <xf numFmtId="0" fontId="5" fillId="24" borderId="19" xfId="0" applyFont="1" applyFill="1" applyBorder="1" applyAlignment="1">
      <alignment horizontal="center" vertical="center"/>
    </xf>
    <xf numFmtId="49" fontId="5" fillId="14" borderId="19" xfId="0" applyNumberFormat="1" applyFont="1" applyFill="1" applyBorder="1" applyAlignment="1">
      <alignment horizontal="center" vertical="center"/>
    </xf>
    <xf numFmtId="49" fontId="15" fillId="14" borderId="19" xfId="0" applyNumberFormat="1" applyFont="1" applyFill="1" applyBorder="1" applyAlignment="1">
      <alignment vertical="center"/>
    </xf>
    <xf numFmtId="169" fontId="5" fillId="14" borderId="19" xfId="0" applyNumberFormat="1" applyFont="1" applyFill="1" applyBorder="1" applyAlignment="1">
      <alignment vertical="center"/>
    </xf>
    <xf numFmtId="0" fontId="5" fillId="14" borderId="19" xfId="0" applyFont="1" applyFill="1" applyBorder="1" applyAlignment="1">
      <alignment vertical="center"/>
    </xf>
    <xf numFmtId="169" fontId="17" fillId="0" borderId="8" xfId="0" applyNumberFormat="1" applyFont="1" applyBorder="1"/>
    <xf numFmtId="164" fontId="5" fillId="10" borderId="16" xfId="0" applyNumberFormat="1" applyFont="1" applyFill="1" applyBorder="1" applyAlignment="1">
      <alignment horizontal="right" vertical="center"/>
    </xf>
    <xf numFmtId="169" fontId="17" fillId="0" borderId="11" xfId="0" applyNumberFormat="1" applyFont="1" applyBorder="1"/>
    <xf numFmtId="10" fontId="16" fillId="20" borderId="19" xfId="0" applyNumberFormat="1" applyFont="1" applyFill="1" applyBorder="1" applyAlignment="1">
      <alignment horizontal="center" vertical="center"/>
    </xf>
    <xf numFmtId="0" fontId="3" fillId="9" borderId="10" xfId="0" applyFont="1" applyFill="1" applyBorder="1"/>
    <xf numFmtId="164" fontId="5" fillId="9" borderId="16" xfId="0" applyNumberFormat="1" applyFont="1" applyFill="1" applyBorder="1" applyAlignment="1">
      <alignment horizontal="right" vertical="center"/>
    </xf>
    <xf numFmtId="0" fontId="3" fillId="15" borderId="10" xfId="0" applyFont="1" applyFill="1" applyBorder="1"/>
    <xf numFmtId="164" fontId="5" fillId="9" borderId="17" xfId="0" applyNumberFormat="1" applyFont="1" applyFill="1" applyBorder="1" applyAlignment="1">
      <alignment horizontal="right" vertical="center"/>
    </xf>
    <xf numFmtId="0" fontId="5" fillId="13" borderId="19" xfId="0" applyFont="1" applyFill="1" applyBorder="1" applyAlignment="1">
      <alignment horizontal="center" vertical="center"/>
    </xf>
    <xf numFmtId="4" fontId="17" fillId="0" borderId="4" xfId="0" applyNumberFormat="1" applyFont="1" applyBorder="1"/>
    <xf numFmtId="49" fontId="15" fillId="14" borderId="2" xfId="0" applyNumberFormat="1" applyFont="1" applyFill="1" applyBorder="1" applyAlignment="1">
      <alignment vertical="center"/>
    </xf>
    <xf numFmtId="0" fontId="26" fillId="0" borderId="4" xfId="0" applyFont="1" applyBorder="1" applyAlignment="1">
      <alignment horizontal="center"/>
    </xf>
    <xf numFmtId="0" fontId="29" fillId="0" borderId="2" xfId="0" applyFont="1" applyBorder="1" applyAlignment="1">
      <alignment horizontal="left" vertical="center"/>
    </xf>
    <xf numFmtId="0" fontId="29" fillId="13" borderId="2" xfId="0" applyFont="1" applyFill="1" applyBorder="1" applyAlignment="1">
      <alignment horizontal="center"/>
    </xf>
    <xf numFmtId="49" fontId="29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26" fillId="0" borderId="17" xfId="0" applyFont="1" applyBorder="1"/>
    <xf numFmtId="0" fontId="30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 vertical="center" wrapText="1"/>
    </xf>
    <xf numFmtId="165" fontId="26" fillId="13" borderId="19" xfId="0" applyNumberFormat="1" applyFont="1" applyFill="1" applyBorder="1" applyAlignment="1">
      <alignment horizontal="center"/>
    </xf>
    <xf numFmtId="165" fontId="29" fillId="0" borderId="2" xfId="0" applyNumberFormat="1" applyFont="1" applyBorder="1" applyAlignment="1">
      <alignment horizontal="center" vertical="center" wrapText="1"/>
    </xf>
    <xf numFmtId="165" fontId="29" fillId="0" borderId="2" xfId="0" applyNumberFormat="1" applyFont="1" applyBorder="1" applyAlignment="1">
      <alignment horizontal="center" vertical="center"/>
    </xf>
    <xf numFmtId="165" fontId="29" fillId="13" borderId="19" xfId="0" applyNumberFormat="1" applyFont="1" applyFill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center" vertical="center"/>
    </xf>
    <xf numFmtId="0" fontId="28" fillId="11" borderId="2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left" vertical="center" wrapText="1"/>
    </xf>
    <xf numFmtId="0" fontId="29" fillId="11" borderId="2" xfId="0" applyFont="1" applyFill="1" applyBorder="1" applyAlignment="1">
      <alignment horizontal="left" vertical="center"/>
    </xf>
    <xf numFmtId="0" fontId="23" fillId="14" borderId="19" xfId="0" applyFont="1" applyFill="1" applyBorder="1" applyAlignment="1">
      <alignment vertical="center"/>
    </xf>
    <xf numFmtId="164" fontId="23" fillId="14" borderId="19" xfId="0" applyNumberFormat="1" applyFont="1" applyFill="1" applyBorder="1" applyAlignment="1">
      <alignment vertical="center"/>
    </xf>
    <xf numFmtId="0" fontId="1" fillId="28" borderId="19" xfId="0" applyFont="1" applyFill="1" applyBorder="1" applyAlignment="1">
      <alignment horizontal="center" vertical="center"/>
    </xf>
    <xf numFmtId="0" fontId="5" fillId="19" borderId="19" xfId="0" applyFont="1" applyFill="1" applyBorder="1" applyAlignment="1">
      <alignment horizontal="center" vertical="center"/>
    </xf>
    <xf numFmtId="0" fontId="5" fillId="19" borderId="19" xfId="0" applyFont="1" applyFill="1" applyBorder="1"/>
    <xf numFmtId="0" fontId="39" fillId="0" borderId="2" xfId="0" applyFont="1" applyBorder="1" applyAlignment="1">
      <alignment horizontal="left" vertical="center"/>
    </xf>
    <xf numFmtId="0" fontId="3" fillId="19" borderId="19" xfId="0" applyFont="1" applyFill="1" applyBorder="1"/>
    <xf numFmtId="0" fontId="13" fillId="0" borderId="4" xfId="0" applyFont="1" applyBorder="1" applyAlignment="1">
      <alignment horizontal="center" vertical="center"/>
    </xf>
    <xf numFmtId="0" fontId="5" fillId="19" borderId="19" xfId="0" applyFont="1" applyFill="1" applyBorder="1" applyAlignment="1">
      <alignment vertical="center"/>
    </xf>
    <xf numFmtId="0" fontId="39" fillId="13" borderId="2" xfId="0" applyFont="1" applyFill="1" applyBorder="1" applyAlignment="1">
      <alignment horizontal="left" vertical="center"/>
    </xf>
    <xf numFmtId="49" fontId="39" fillId="0" borderId="2" xfId="0" applyNumberFormat="1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/>
    <xf numFmtId="0" fontId="39" fillId="0" borderId="2" xfId="0" applyFont="1" applyBorder="1" applyAlignment="1">
      <alignment horizontal="left" vertical="center" wrapText="1"/>
    </xf>
    <xf numFmtId="165" fontId="13" fillId="13" borderId="19" xfId="0" applyNumberFormat="1" applyFont="1" applyFill="1" applyBorder="1" applyAlignment="1">
      <alignment horizontal="left" vertical="center"/>
    </xf>
    <xf numFmtId="165" fontId="39" fillId="0" borderId="2" xfId="0" applyNumberFormat="1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165" fontId="39" fillId="0" borderId="2" xfId="0" applyNumberFormat="1" applyFont="1" applyBorder="1" applyAlignment="1">
      <alignment horizontal="left" vertical="center"/>
    </xf>
    <xf numFmtId="165" fontId="39" fillId="13" borderId="19" xfId="0" applyNumberFormat="1" applyFont="1" applyFill="1" applyBorder="1" applyAlignment="1">
      <alignment horizontal="left" vertical="center"/>
    </xf>
    <xf numFmtId="0" fontId="39" fillId="5" borderId="2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0" fontId="1" fillId="19" borderId="19" xfId="0" applyFont="1" applyFill="1" applyBorder="1"/>
    <xf numFmtId="0" fontId="5" fillId="19" borderId="19" xfId="0" applyFont="1" applyFill="1" applyBorder="1" applyAlignment="1">
      <alignment wrapText="1"/>
    </xf>
    <xf numFmtId="0" fontId="39" fillId="11" borderId="2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5" fillId="20" borderId="19" xfId="0" applyFont="1" applyFill="1" applyBorder="1" applyAlignment="1">
      <alignment horizontal="center" vertical="center"/>
    </xf>
    <xf numFmtId="0" fontId="5" fillId="20" borderId="19" xfId="0" applyFont="1" applyFill="1" applyBorder="1" applyAlignment="1">
      <alignment horizontal="left" vertical="center"/>
    </xf>
    <xf numFmtId="0" fontId="3" fillId="14" borderId="19" xfId="0" applyFont="1" applyFill="1" applyBorder="1"/>
    <xf numFmtId="0" fontId="1" fillId="2" borderId="8" xfId="0" applyFont="1" applyFill="1" applyBorder="1" applyAlignment="1">
      <alignment horizontal="center" wrapText="1"/>
    </xf>
    <xf numFmtId="0" fontId="2" fillId="0" borderId="1" xfId="0" applyFont="1" applyBorder="1" applyAlignment="1"/>
    <xf numFmtId="2" fontId="1" fillId="2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/>
    <xf numFmtId="3" fontId="1" fillId="2" borderId="3" xfId="0" applyNumberFormat="1" applyFont="1" applyFill="1" applyBorder="1" applyAlignment="1">
      <alignment horizontal="center" wrapText="1"/>
    </xf>
    <xf numFmtId="3" fontId="1" fillId="2" borderId="8" xfId="0" applyNumberFormat="1" applyFont="1" applyFill="1" applyBorder="1" applyAlignment="1">
      <alignment horizontal="center" wrapText="1"/>
    </xf>
    <xf numFmtId="0" fontId="2" fillId="0" borderId="7" xfId="0" applyFont="1" applyBorder="1" applyAlignment="1"/>
    <xf numFmtId="3" fontId="1" fillId="3" borderId="8" xfId="0" applyNumberFormat="1" applyFont="1" applyFill="1" applyBorder="1" applyAlignment="1">
      <alignment horizontal="center" wrapText="1"/>
    </xf>
    <xf numFmtId="3" fontId="1" fillId="4" borderId="8" xfId="0" applyNumberFormat="1" applyFont="1" applyFill="1" applyBorder="1" applyAlignment="1">
      <alignment horizontal="center" wrapText="1"/>
    </xf>
    <xf numFmtId="0" fontId="1" fillId="15" borderId="8" xfId="0" applyFont="1" applyFill="1" applyBorder="1" applyAlignment="1">
      <alignment horizontal="center"/>
    </xf>
    <xf numFmtId="9" fontId="1" fillId="15" borderId="8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/>
    <xf numFmtId="0" fontId="5" fillId="12" borderId="8" xfId="0" applyFont="1" applyFill="1" applyBorder="1" applyAlignment="1"/>
    <xf numFmtId="0" fontId="10" fillId="1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5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165" fontId="1" fillId="9" borderId="8" xfId="0" applyNumberFormat="1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165" fontId="8" fillId="10" borderId="3" xfId="0" applyNumberFormat="1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/>
    </xf>
    <xf numFmtId="0" fontId="1" fillId="15" borderId="11" xfId="0" applyFont="1" applyFill="1" applyBorder="1" applyAlignment="1">
      <alignment horizontal="center" vertical="center"/>
    </xf>
    <xf numFmtId="0" fontId="2" fillId="0" borderId="10" xfId="0" applyFont="1" applyBorder="1" applyAlignment="1"/>
    <xf numFmtId="0" fontId="1" fillId="16" borderId="3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0" fontId="2" fillId="0" borderId="9" xfId="0" applyFont="1" applyBorder="1" applyAlignment="1"/>
    <xf numFmtId="0" fontId="2" fillId="0" borderId="15" xfId="0" applyFont="1" applyBorder="1" applyAlignment="1"/>
    <xf numFmtId="10" fontId="16" fillId="20" borderId="19" xfId="0" applyNumberFormat="1" applyFont="1" applyFill="1" applyBorder="1" applyAlignment="1">
      <alignment horizontal="center" vertical="center"/>
    </xf>
    <xf numFmtId="0" fontId="2" fillId="0" borderId="19" xfId="0" applyFont="1" applyBorder="1" applyAlignment="1"/>
    <xf numFmtId="0" fontId="11" fillId="0" borderId="0" xfId="0" applyFont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16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17" borderId="8" xfId="0" applyFont="1" applyFill="1" applyBorder="1" applyAlignment="1">
      <alignment horizontal="center" vertical="center"/>
    </xf>
    <xf numFmtId="3" fontId="1" fillId="18" borderId="8" xfId="0" applyNumberFormat="1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169" fontId="1" fillId="5" borderId="8" xfId="0" applyNumberFormat="1" applyFon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/>
    </xf>
    <xf numFmtId="169" fontId="1" fillId="5" borderId="8" xfId="0" applyNumberFormat="1" applyFont="1" applyFill="1" applyBorder="1" applyAlignment="1">
      <alignment horizontal="center" vertical="center"/>
    </xf>
    <xf numFmtId="165" fontId="20" fillId="26" borderId="8" xfId="0" applyNumberFormat="1" applyFont="1" applyFill="1" applyBorder="1" applyAlignment="1">
      <alignment horizontal="center" vertical="center" wrapText="1"/>
    </xf>
    <xf numFmtId="165" fontId="20" fillId="27" borderId="8" xfId="0" applyNumberFormat="1" applyFont="1" applyFill="1" applyBorder="1" applyAlignment="1">
      <alignment horizontal="center" vertical="center"/>
    </xf>
    <xf numFmtId="165" fontId="20" fillId="27" borderId="3" xfId="0" applyNumberFormat="1" applyFont="1" applyFill="1" applyBorder="1" applyAlignment="1">
      <alignment horizontal="center" vertical="center" wrapText="1"/>
    </xf>
    <xf numFmtId="170" fontId="20" fillId="25" borderId="8" xfId="0" applyNumberFormat="1" applyFont="1" applyFill="1" applyBorder="1" applyAlignment="1">
      <alignment horizontal="center" vertical="center" wrapText="1"/>
    </xf>
    <xf numFmtId="0" fontId="20" fillId="25" borderId="3" xfId="0" applyFont="1" applyFill="1" applyBorder="1" applyAlignment="1">
      <alignment horizontal="center" vertical="center"/>
    </xf>
    <xf numFmtId="170" fontId="20" fillId="25" borderId="3" xfId="0" applyNumberFormat="1" applyFont="1" applyFill="1" applyBorder="1" applyAlignment="1">
      <alignment horizontal="center" vertical="center" wrapText="1"/>
    </xf>
    <xf numFmtId="170" fontId="20" fillId="25" borderId="3" xfId="0" applyNumberFormat="1" applyFont="1" applyFill="1" applyBorder="1" applyAlignment="1">
      <alignment horizontal="center" vertical="center"/>
    </xf>
    <xf numFmtId="0" fontId="20" fillId="25" borderId="3" xfId="0" applyFont="1" applyFill="1" applyBorder="1" applyAlignment="1">
      <alignment horizontal="center" vertical="center" wrapText="1"/>
    </xf>
    <xf numFmtId="165" fontId="20" fillId="25" borderId="8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64" fontId="22" fillId="20" borderId="8" xfId="0" applyNumberFormat="1" applyFont="1" applyFill="1" applyBorder="1" applyAlignment="1">
      <alignment horizontal="center" vertical="center" wrapText="1"/>
    </xf>
    <xf numFmtId="164" fontId="22" fillId="20" borderId="3" xfId="0" applyNumberFormat="1" applyFont="1" applyFill="1" applyBorder="1" applyAlignment="1">
      <alignment horizontal="center" vertical="center" wrapText="1"/>
    </xf>
    <xf numFmtId="164" fontId="22" fillId="29" borderId="8" xfId="0" applyNumberFormat="1" applyFont="1" applyFill="1" applyBorder="1" applyAlignment="1">
      <alignment horizontal="center" vertical="center" wrapText="1"/>
    </xf>
    <xf numFmtId="164" fontId="22" fillId="29" borderId="3" xfId="0" applyNumberFormat="1" applyFont="1" applyFill="1" applyBorder="1" applyAlignment="1">
      <alignment horizontal="center" vertical="center" wrapText="1"/>
    </xf>
    <xf numFmtId="164" fontId="26" fillId="0" borderId="3" xfId="0" applyNumberFormat="1" applyFont="1" applyBorder="1" applyAlignment="1">
      <alignment horizontal="center"/>
    </xf>
    <xf numFmtId="0" fontId="23" fillId="0" borderId="0" xfId="0" applyFont="1" applyAlignment="1">
      <alignment wrapText="1"/>
    </xf>
    <xf numFmtId="167" fontId="22" fillId="14" borderId="3" xfId="0" applyNumberFormat="1" applyFont="1" applyFill="1" applyBorder="1" applyAlignment="1">
      <alignment horizontal="center" vertical="center"/>
    </xf>
    <xf numFmtId="167" fontId="22" fillId="20" borderId="8" xfId="0" applyNumberFormat="1" applyFont="1" applyFill="1" applyBorder="1" applyAlignment="1">
      <alignment horizontal="center" vertical="center"/>
    </xf>
    <xf numFmtId="0" fontId="24" fillId="28" borderId="8" xfId="0" applyFont="1" applyFill="1" applyBorder="1" applyAlignment="1">
      <alignment horizontal="center"/>
    </xf>
    <xf numFmtId="0" fontId="22" fillId="29" borderId="8" xfId="0" applyFont="1" applyFill="1" applyBorder="1" applyAlignment="1">
      <alignment horizontal="center" vertical="center"/>
    </xf>
    <xf numFmtId="164" fontId="22" fillId="12" borderId="3" xfId="0" applyNumberFormat="1" applyFont="1" applyFill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/>
    </xf>
    <xf numFmtId="164" fontId="22" fillId="28" borderId="8" xfId="0" applyNumberFormat="1" applyFont="1" applyFill="1" applyBorder="1" applyAlignment="1">
      <alignment horizontal="center" vertical="center" wrapText="1"/>
    </xf>
    <xf numFmtId="164" fontId="22" fillId="28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29" borderId="3" xfId="0" applyNumberFormat="1" applyFont="1" applyFill="1" applyBorder="1" applyAlignment="1">
      <alignment horizontal="center" vertical="center" wrapText="1"/>
    </xf>
    <xf numFmtId="0" fontId="1" fillId="29" borderId="3" xfId="0" applyFont="1" applyFill="1" applyBorder="1" applyAlignment="1">
      <alignment horizontal="center" vertical="center"/>
    </xf>
    <xf numFmtId="164" fontId="1" fillId="29" borderId="8" xfId="0" applyNumberFormat="1" applyFont="1" applyFill="1" applyBorder="1" applyAlignment="1">
      <alignment horizontal="center" vertical="center" wrapText="1"/>
    </xf>
    <xf numFmtId="167" fontId="1" fillId="20" borderId="8" xfId="0" applyNumberFormat="1" applyFont="1" applyFill="1" applyBorder="1" applyAlignment="1">
      <alignment horizontal="center" vertical="center"/>
    </xf>
    <xf numFmtId="0" fontId="12" fillId="28" borderId="8" xfId="0" applyFont="1" applyFill="1" applyBorder="1" applyAlignment="1">
      <alignment horizontal="center" vertical="center"/>
    </xf>
    <xf numFmtId="0" fontId="1" fillId="29" borderId="8" xfId="0" applyFont="1" applyFill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164" fontId="1" fillId="28" borderId="8" xfId="0" applyNumberFormat="1" applyFont="1" applyFill="1" applyBorder="1" applyAlignment="1">
      <alignment horizontal="center" vertical="center" wrapText="1"/>
    </xf>
    <xf numFmtId="164" fontId="1" fillId="16" borderId="3" xfId="0" applyNumberFormat="1" applyFont="1" applyFill="1" applyBorder="1" applyAlignment="1">
      <alignment horizontal="center" vertical="center" wrapText="1"/>
    </xf>
    <xf numFmtId="167" fontId="1" fillId="16" borderId="3" xfId="0" applyNumberFormat="1" applyFont="1" applyFill="1" applyBorder="1" applyAlignment="1">
      <alignment horizontal="center" vertical="center"/>
    </xf>
    <xf numFmtId="0" fontId="38" fillId="25" borderId="3" xfId="0" applyFont="1" applyFill="1" applyBorder="1" applyAlignment="1">
      <alignment horizontal="center" vertical="center" wrapText="1"/>
    </xf>
    <xf numFmtId="3" fontId="38" fillId="25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7" xfId="0" applyFont="1" applyBorder="1" applyAlignment="1"/>
    <xf numFmtId="0" fontId="38" fillId="25" borderId="15" xfId="0" applyFont="1" applyFill="1" applyBorder="1" applyAlignment="1">
      <alignment horizontal="center" vertical="center" wrapText="1"/>
    </xf>
    <xf numFmtId="0" fontId="1" fillId="20" borderId="3" xfId="0" applyFont="1" applyFill="1" applyBorder="1" applyAlignment="1">
      <alignment horizontal="center" vertical="center"/>
    </xf>
    <xf numFmtId="164" fontId="1" fillId="20" borderId="8" xfId="0" applyNumberFormat="1" applyFont="1" applyFill="1" applyBorder="1" applyAlignment="1">
      <alignment horizontal="center" vertical="center" wrapText="1"/>
    </xf>
    <xf numFmtId="164" fontId="1" fillId="20" borderId="3" xfId="0" applyNumberFormat="1" applyFont="1" applyFill="1" applyBorder="1" applyAlignment="1">
      <alignment horizontal="center" vertical="center" wrapText="1"/>
    </xf>
    <xf numFmtId="164" fontId="1" fillId="28" borderId="3" xfId="0" applyNumberFormat="1" applyFont="1" applyFill="1" applyBorder="1" applyAlignment="1">
      <alignment horizontal="center" vertical="center" wrapText="1"/>
    </xf>
    <xf numFmtId="164" fontId="1" fillId="12" borderId="3" xfId="0" applyNumberFormat="1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27" borderId="3" xfId="0" applyFont="1" applyFill="1" applyBorder="1" applyAlignment="1">
      <alignment horizontal="center" wrapText="1"/>
    </xf>
    <xf numFmtId="0" fontId="1" fillId="27" borderId="8" xfId="0" applyFont="1" applyFill="1" applyBorder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 wrapText="1"/>
    </xf>
    <xf numFmtId="0" fontId="1" fillId="27" borderId="3" xfId="0" applyFont="1" applyFill="1" applyBorder="1" applyAlignment="1">
      <alignment horizontal="center" vertical="center" wrapText="1"/>
    </xf>
    <xf numFmtId="1" fontId="1" fillId="27" borderId="3" xfId="0" applyNumberFormat="1" applyFont="1" applyFill="1" applyBorder="1" applyAlignment="1">
      <alignment horizontal="center" vertical="center" wrapText="1"/>
    </xf>
    <xf numFmtId="3" fontId="1" fillId="27" borderId="3" xfId="0" applyNumberFormat="1" applyFont="1" applyFill="1" applyBorder="1" applyAlignment="1">
      <alignment horizontal="center" vertical="center" wrapText="1"/>
    </xf>
    <xf numFmtId="164" fontId="1" fillId="27" borderId="3" xfId="0" applyNumberFormat="1" applyFont="1" applyFill="1" applyBorder="1" applyAlignment="1">
      <alignment horizontal="center"/>
    </xf>
    <xf numFmtId="1" fontId="1" fillId="18" borderId="8" xfId="0" applyNumberFormat="1" applyFont="1" applyFill="1" applyBorder="1" applyAlignment="1">
      <alignment horizontal="center"/>
    </xf>
    <xf numFmtId="0" fontId="1" fillId="32" borderId="8" xfId="0" applyFont="1" applyFill="1" applyBorder="1" applyAlignment="1">
      <alignment horizontal="center"/>
    </xf>
    <xf numFmtId="164" fontId="1" fillId="27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25">
    <dxf>
      <fill>
        <patternFill patternType="solid">
          <fgColor rgb="FFEA9999"/>
          <bgColor rgb="FFEA9999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A8D08D"/>
          <bgColor rgb="FFA8D08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z-hY-VMf2IBqFcYEBBg3jLfN3qGiWXth/view?usp=share_link" TargetMode="External"/><Relationship Id="rId21" Type="http://schemas.openxmlformats.org/officeDocument/2006/relationships/hyperlink" Target="https://drive.google.com/file/d/12kFUOlCMateEovvwgGmbI4fKl3bhHowO/view?usp=sharing" TargetMode="External"/><Relationship Id="rId42" Type="http://schemas.openxmlformats.org/officeDocument/2006/relationships/hyperlink" Target="https://drive.google.com/file/d/1q4LY7oF99vmMLUwx0MhO02pwiMHoEfR9/view?usp=share_link" TargetMode="External"/><Relationship Id="rId63" Type="http://schemas.openxmlformats.org/officeDocument/2006/relationships/hyperlink" Target="https://drive.google.com/file/d/1eA5IyEUHy8N0HkLm5vfA0jTNPFO6mfiP/view?usp=share_link" TargetMode="External"/><Relationship Id="rId84" Type="http://schemas.openxmlformats.org/officeDocument/2006/relationships/hyperlink" Target="https://drive.google.com/file/d/1-EGnf2Lt22hZRzmvxr3UfG1eFquzSx8q/view?usp=share_link" TargetMode="External"/><Relationship Id="rId138" Type="http://schemas.openxmlformats.org/officeDocument/2006/relationships/hyperlink" Target="https://drive.google.com/file/d/1bbgPlwvexE_L8q8QRCBovhfjP8WF00K7/view?usp=share_link" TargetMode="External"/><Relationship Id="rId159" Type="http://schemas.openxmlformats.org/officeDocument/2006/relationships/hyperlink" Target="https://drive.google.com/file/d/1Ge5pwslwnux-po9E7pepabYYf0dGAC6D/view?usp=share_link" TargetMode="External"/><Relationship Id="rId170" Type="http://schemas.openxmlformats.org/officeDocument/2006/relationships/hyperlink" Target="https://drive.google.com/file/d/1eAvsc0R0Qbl5C2PvElEMD7hgM_x_kqEn/view?usp=share_link" TargetMode="External"/><Relationship Id="rId191" Type="http://schemas.openxmlformats.org/officeDocument/2006/relationships/hyperlink" Target="https://drive.google.com/file/d/1Sr-P9qg9PgQQ6wBAR1LxtcJ9YnYsCJeP/view?usp=share_link" TargetMode="External"/><Relationship Id="rId205" Type="http://schemas.openxmlformats.org/officeDocument/2006/relationships/hyperlink" Target="https://drive.google.com/file/d/1nhhjPjEyC5SoV9D9s3LQLhKNCW3WzYJ3/view?usp=share_link" TargetMode="External"/><Relationship Id="rId107" Type="http://schemas.openxmlformats.org/officeDocument/2006/relationships/hyperlink" Target="https://drive.google.com/file/d/1ATmKWttx4lKMSJh23oJ7iHTEPgFEeDgq/view?usp=share_link" TargetMode="External"/><Relationship Id="rId11" Type="http://schemas.openxmlformats.org/officeDocument/2006/relationships/hyperlink" Target="https://drive.google.com/file/d/1FUzpEoAQAH_Db8cvvZCUvD6JLKwQVEiP/view?usp=share_link" TargetMode="External"/><Relationship Id="rId32" Type="http://schemas.openxmlformats.org/officeDocument/2006/relationships/hyperlink" Target="https://drive.google.com/file/d/18PLt-HrmH_8jvIYwZKaNumLPJr2EggW_/view?usp=share_link" TargetMode="External"/><Relationship Id="rId53" Type="http://schemas.openxmlformats.org/officeDocument/2006/relationships/hyperlink" Target="https://drive.google.com/file/d/1xobRKn53AJPR2uXCqoMYotvig3l3RIZk/view?usp=share_link" TargetMode="External"/><Relationship Id="rId74" Type="http://schemas.openxmlformats.org/officeDocument/2006/relationships/hyperlink" Target="https://drive.google.com/file/d/1pJfqA-ly-8c0U2B7lMMF122PCmyfLinW/view?usp=share_link" TargetMode="External"/><Relationship Id="rId128" Type="http://schemas.openxmlformats.org/officeDocument/2006/relationships/hyperlink" Target="https://drive.google.com/file/d/1Bd0qu0vyDeCbrfCFNXpM8o2QElR2Ihon/view?usp=share_link" TargetMode="External"/><Relationship Id="rId149" Type="http://schemas.openxmlformats.org/officeDocument/2006/relationships/hyperlink" Target="https://drive.google.com/file/d/10CtAYweFpZO_rWN11qK-mpKQ38Ll9V8r/view?usp=share_link" TargetMode="External"/><Relationship Id="rId5" Type="http://schemas.openxmlformats.org/officeDocument/2006/relationships/hyperlink" Target="https://drive.google.com/file/d/1NPyWWtGbskpT3OZIyYOhlNprlHzwhtkY/view?usp=share_link" TargetMode="External"/><Relationship Id="rId95" Type="http://schemas.openxmlformats.org/officeDocument/2006/relationships/hyperlink" Target="https://drive.google.com/file/d/16PcrYshc8Q3StRdGqRJhp5gSDaV2PGxT/view?usp=share_link" TargetMode="External"/><Relationship Id="rId160" Type="http://schemas.openxmlformats.org/officeDocument/2006/relationships/hyperlink" Target="https://drive.google.com/file/d/1WOmqAlqaWm4t9W4RqE2FW5ZQ1VT8fWGc/view?usp=share_link" TargetMode="External"/><Relationship Id="rId181" Type="http://schemas.openxmlformats.org/officeDocument/2006/relationships/hyperlink" Target="https://drive.google.com/file/d/1qfj89OWHRH1TYQxUHKxea3CxzdK14jBR/view?usp=share_link" TargetMode="External"/><Relationship Id="rId22" Type="http://schemas.openxmlformats.org/officeDocument/2006/relationships/hyperlink" Target="https://drive.google.com/file/d/1mR6F9ZStIiad85c_IeAgfyMsxFdevbbX/view?usp=share_link" TargetMode="External"/><Relationship Id="rId43" Type="http://schemas.openxmlformats.org/officeDocument/2006/relationships/hyperlink" Target="https://drive.google.com/file/d/1RSvgO1Z_zQqqS3_3XtbYK7RcQSwqmlDe/view?usp=share_link" TargetMode="External"/><Relationship Id="rId64" Type="http://schemas.openxmlformats.org/officeDocument/2006/relationships/hyperlink" Target="https://drive.google.com/file/d/1ECr8DnmAyDxL4_KMEFuTYbf5yYohlEnp/view?usp=share_link" TargetMode="External"/><Relationship Id="rId118" Type="http://schemas.openxmlformats.org/officeDocument/2006/relationships/hyperlink" Target="https://drive.google.com/file/d/1Gu_TllXG3LDMiqgk2t8gY7jbSqMz7ts7/view?usp=share_link" TargetMode="External"/><Relationship Id="rId139" Type="http://schemas.openxmlformats.org/officeDocument/2006/relationships/hyperlink" Target="https://drive.google.com/drive/folders/1lQca5ZtfQKQUzIHjFI_uzTiTUhntVqC2?usp=share_link" TargetMode="External"/><Relationship Id="rId85" Type="http://schemas.openxmlformats.org/officeDocument/2006/relationships/hyperlink" Target="https://drive.google.com/file/d/1l_HfvIziQjC_GBN7D8uiWADZksZ9CjnJ/view?usp=share_link" TargetMode="External"/><Relationship Id="rId150" Type="http://schemas.openxmlformats.org/officeDocument/2006/relationships/hyperlink" Target="https://drive.google.com/file/d/1dSlEd7tr47WLgt4MDRYctFImQONHhZ3q/view?usp=share_link" TargetMode="External"/><Relationship Id="rId171" Type="http://schemas.openxmlformats.org/officeDocument/2006/relationships/hyperlink" Target="https://drive.google.com/file/d/1pNyRu8srygt_ApZcsWFvGG-0JSBmjj0y/view?usp=share_link" TargetMode="External"/><Relationship Id="rId192" Type="http://schemas.openxmlformats.org/officeDocument/2006/relationships/hyperlink" Target="https://drive.google.com/file/d/1XYxqGbPkuAwO049OYjmxhzn7TicY4BZj/view?usp=share_link" TargetMode="External"/><Relationship Id="rId206" Type="http://schemas.openxmlformats.org/officeDocument/2006/relationships/hyperlink" Target="https://drive.google.com/drive/folders/1mACfv4uROSl_ZoMFP4xk-hp9_QTre4fH?usp=share_link" TargetMode="External"/><Relationship Id="rId12" Type="http://schemas.openxmlformats.org/officeDocument/2006/relationships/hyperlink" Target="https://drive.google.com/file/d/1dW6n1F9QqyCiYlM9QOrn-dV2MgvXWC4K/view?usp=share_link" TargetMode="External"/><Relationship Id="rId33" Type="http://schemas.openxmlformats.org/officeDocument/2006/relationships/hyperlink" Target="https://drive.google.com/file/d/1ZT-md2Qg_i1Ray3T1XVpwpK8U7Sks2Qy/view?usp=share_link" TargetMode="External"/><Relationship Id="rId108" Type="http://schemas.openxmlformats.org/officeDocument/2006/relationships/hyperlink" Target="https://drive.google.com/file/d/1COjKnQ_lz-FUESangld8FwqRL-KQJhCu/view?usp=share_link" TargetMode="External"/><Relationship Id="rId129" Type="http://schemas.openxmlformats.org/officeDocument/2006/relationships/hyperlink" Target="https://drive.google.com/file/d/1cOWufeu4IN_-Ssa-M2Sl2-9N3HS7SdU4/view?usp=share_link" TargetMode="External"/><Relationship Id="rId54" Type="http://schemas.openxmlformats.org/officeDocument/2006/relationships/hyperlink" Target="https://drive.google.com/file/d/1rTS5VdqIvLLbgFqK8-gYaBAUwYfKQam1/view?usp=share_link" TargetMode="External"/><Relationship Id="rId75" Type="http://schemas.openxmlformats.org/officeDocument/2006/relationships/hyperlink" Target="https://drive.google.com/file/d/13SSN3GTqmmSRRCXq3VJ0nHsn121CpJmJ/view?usp=share_link" TargetMode="External"/><Relationship Id="rId96" Type="http://schemas.openxmlformats.org/officeDocument/2006/relationships/hyperlink" Target="https://drive.google.com/file/d/1W8UOUi3rnfXjHfQ0f0B0neVrlWRLSBfY/view?usp=share_link" TargetMode="External"/><Relationship Id="rId140" Type="http://schemas.openxmlformats.org/officeDocument/2006/relationships/hyperlink" Target="https://drive.google.com/drive/folders/1lQca5ZtfQKQUzIHjFI_uzTiTUhntVqC2?usp=share_link" TargetMode="External"/><Relationship Id="rId161" Type="http://schemas.openxmlformats.org/officeDocument/2006/relationships/hyperlink" Target="https://drive.google.com/file/d/1_LsOoLsHpbEV-p6I5oXDtDNDWLyV4oW_/view?usp=share_link" TargetMode="External"/><Relationship Id="rId182" Type="http://schemas.openxmlformats.org/officeDocument/2006/relationships/hyperlink" Target="https://drive.google.com/file/d/1cRj4bo_e4__W46DDgbhbPasRww1GhPAH/view?usp=share_link" TargetMode="External"/><Relationship Id="rId6" Type="http://schemas.openxmlformats.org/officeDocument/2006/relationships/hyperlink" Target="https://drive.google.com/file/d/1QqXB5bEoAqotDq62ERMmAsUPGSfK2nqW/view?usp=share_link" TargetMode="External"/><Relationship Id="rId23" Type="http://schemas.openxmlformats.org/officeDocument/2006/relationships/hyperlink" Target="https://drive.google.com/file/d/1ce-LeUZKD5U9A6Ke8kfm9Kmoip0evZo6/view?usp=share_link" TargetMode="External"/><Relationship Id="rId119" Type="http://schemas.openxmlformats.org/officeDocument/2006/relationships/hyperlink" Target="https://drive.google.com/file/d/1Obswc4W9cW_pexxcmRpnnuy-eX5p3BRv/view?usp=sharing" TargetMode="External"/><Relationship Id="rId44" Type="http://schemas.openxmlformats.org/officeDocument/2006/relationships/hyperlink" Target="https://drive.google.com/file/d/1qEwziQdw-EMubcLCuWI0d-oLP63DJbxI/view?usp=share_link" TargetMode="External"/><Relationship Id="rId65" Type="http://schemas.openxmlformats.org/officeDocument/2006/relationships/hyperlink" Target="https://drive.google.com/file/d/1bBg2QS2meuSt9752u2H98P0P4Y3wf-2Z/view?usp=share_link" TargetMode="External"/><Relationship Id="rId86" Type="http://schemas.openxmlformats.org/officeDocument/2006/relationships/hyperlink" Target="https://drive.google.com/file/d/1n0oHwkZyiHRqEKLxM9bBEfum_j7_31_g/view?usp=share_link" TargetMode="External"/><Relationship Id="rId130" Type="http://schemas.openxmlformats.org/officeDocument/2006/relationships/hyperlink" Target="https://drive.google.com/file/d/1diNZpa3lPWiXRhSd5BV_Y2-_8_yxgdeK/view?usp=share_link" TargetMode="External"/><Relationship Id="rId151" Type="http://schemas.openxmlformats.org/officeDocument/2006/relationships/hyperlink" Target="https://drive.google.com/file/d/1bXVO5Ar-y5805WJ3x4R_gq2RJfYvj47Z/view?usp=share_link" TargetMode="External"/><Relationship Id="rId172" Type="http://schemas.openxmlformats.org/officeDocument/2006/relationships/hyperlink" Target="https://drive.google.com/file/d/101U4HY1X8RDP4dMXQpVCdJpEFK9pnrcy/view?usp=share_link" TargetMode="External"/><Relationship Id="rId193" Type="http://schemas.openxmlformats.org/officeDocument/2006/relationships/hyperlink" Target="https://drive.google.com/drive/folders/1n4dxr50fIhBRtgoykqoaNNlR29bjqpHE?usp=share_link" TargetMode="External"/><Relationship Id="rId13" Type="http://schemas.openxmlformats.org/officeDocument/2006/relationships/hyperlink" Target="https://drive.google.com/file/d/17nITadebh9qfGafAyQ-Z-F3Dy7_IG12g/view?usp=share_link" TargetMode="External"/><Relationship Id="rId109" Type="http://schemas.openxmlformats.org/officeDocument/2006/relationships/hyperlink" Target="https://drive.google.com/file/d/1zjhQlNeVhJVQKL7XWKf9JTiGKT99gUA_/view?usp=share_link" TargetMode="External"/><Relationship Id="rId34" Type="http://schemas.openxmlformats.org/officeDocument/2006/relationships/hyperlink" Target="https://drive.google.com/file/d/1OdABuq6uIA4i75cOTssNCK_eX57UJILh/view?usp=share_link" TargetMode="External"/><Relationship Id="rId55" Type="http://schemas.openxmlformats.org/officeDocument/2006/relationships/hyperlink" Target="https://drive.google.com/file/d/13K6-10Q7EyGh887caUjfPLWJRoSfKwdk/view?usp=share_link" TargetMode="External"/><Relationship Id="rId76" Type="http://schemas.openxmlformats.org/officeDocument/2006/relationships/hyperlink" Target="https://drive.google.com/file/d/1RtIBwdeExQtw7W9gEtblktEwzqUUceWK/view?usp=share_link" TargetMode="External"/><Relationship Id="rId97" Type="http://schemas.openxmlformats.org/officeDocument/2006/relationships/hyperlink" Target="https://drive.google.com/file/d/12kniqwaKJ2OnWMDwvk257tDB9zxPRtNs/view?usp=share_link" TargetMode="External"/><Relationship Id="rId120" Type="http://schemas.openxmlformats.org/officeDocument/2006/relationships/hyperlink" Target="https://drive.google.com/file/d/18Ee3x3EUGyHNR5THFOQH4mK8wfxbttjN/view?usp=share_link" TargetMode="External"/><Relationship Id="rId141" Type="http://schemas.openxmlformats.org/officeDocument/2006/relationships/hyperlink" Target="https://drive.google.com/file/d/1xPkHCRgwkl2GpotNLaYF5AQiT_VXHNMX/view?usp=share_link" TargetMode="External"/><Relationship Id="rId7" Type="http://schemas.openxmlformats.org/officeDocument/2006/relationships/hyperlink" Target="https://drive.google.com/file/d/1WHciP_ETIAESyNfVKAV6OplZbTanic7s/view?usp=share_link" TargetMode="External"/><Relationship Id="rId162" Type="http://schemas.openxmlformats.org/officeDocument/2006/relationships/hyperlink" Target="https://drive.google.com/file/d/1jbl5pLc2KCRW7EBFJMjd9-o1v8HJv81R/view?usp=share_link" TargetMode="External"/><Relationship Id="rId183" Type="http://schemas.openxmlformats.org/officeDocument/2006/relationships/hyperlink" Target="https://docs.google.com/document/d/1-exPjRA1R35Jf1qUhHOeERxKx71WGTJ0/edit?usp=share_link&amp;ouid=107030896646742536762&amp;rtpof=true&amp;sd=true" TargetMode="External"/><Relationship Id="rId24" Type="http://schemas.openxmlformats.org/officeDocument/2006/relationships/hyperlink" Target="https://drive.google.com/file/d/12HLWcp6ipL_1FNn1L5EWTMDGusCGRyyC/view?usp=share_link" TargetMode="External"/><Relationship Id="rId40" Type="http://schemas.openxmlformats.org/officeDocument/2006/relationships/hyperlink" Target="https://drive.google.com/file/d/1b6fsHhZRiN-8vAJFSrtAk1NznU0zqC8z/view?usp=share_link" TargetMode="External"/><Relationship Id="rId45" Type="http://schemas.openxmlformats.org/officeDocument/2006/relationships/hyperlink" Target="https://drive.google.com/file/d/1xCmbJgrsZFfe7pgdJQIxgICZgp5jSVQO/view?usp=share_link" TargetMode="External"/><Relationship Id="rId66" Type="http://schemas.openxmlformats.org/officeDocument/2006/relationships/hyperlink" Target="https://drive.google.com/file/d/1bjuTJR6q-8zaG-C0IAEZAGvIyucMeMfZ/view?usp=share_link" TargetMode="External"/><Relationship Id="rId87" Type="http://schemas.openxmlformats.org/officeDocument/2006/relationships/hyperlink" Target="https://drive.google.com/file/d/1DC9q8_E5TWg0SPWHtfJVWY2qvnlpTxMe/view?usp=share_link" TargetMode="External"/><Relationship Id="rId110" Type="http://schemas.openxmlformats.org/officeDocument/2006/relationships/hyperlink" Target="https://drive.google.com/drive/folders/1MDy7KGr2RGWxdV2xuUOtUHKAj3lNf2pI?usp=share_link" TargetMode="External"/><Relationship Id="rId115" Type="http://schemas.openxmlformats.org/officeDocument/2006/relationships/hyperlink" Target="https://drive.google.com/file/d/12jW-8wpDp6ZywsR9yJ6QsISuenA_WP10/view?usp=sharing" TargetMode="External"/><Relationship Id="rId131" Type="http://schemas.openxmlformats.org/officeDocument/2006/relationships/hyperlink" Target="https://drive.google.com/file/d/1MRt4unZJAJ0SPK62NuUnh_sfC7Zpy1LQ/view?usp=share_link" TargetMode="External"/><Relationship Id="rId136" Type="http://schemas.openxmlformats.org/officeDocument/2006/relationships/hyperlink" Target="https://drive.google.com/file/d/13_LLztWhth-m7-Pmek_ShBT9nFpj3IUn/view?usp=share_link" TargetMode="External"/><Relationship Id="rId157" Type="http://schemas.openxmlformats.org/officeDocument/2006/relationships/hyperlink" Target="https://drive.google.com/file/d/11Xdm_MH1setxprBVvdUSiTGunX1VrFzA/view?usp=share_link" TargetMode="External"/><Relationship Id="rId178" Type="http://schemas.openxmlformats.org/officeDocument/2006/relationships/hyperlink" Target="https://drive.google.com/file/d/1eh7y9Mcas50m5AO7dqtlJozqTX2Qoty0/view?usp=share_link" TargetMode="External"/><Relationship Id="rId61" Type="http://schemas.openxmlformats.org/officeDocument/2006/relationships/hyperlink" Target="https://drive.google.com/file/d/1-JCn4wq1tyRNVmgFh_Xd9XmQUJ67_zOo/view?usp=share_link" TargetMode="External"/><Relationship Id="rId82" Type="http://schemas.openxmlformats.org/officeDocument/2006/relationships/hyperlink" Target="https://drive.google.com/file/d/1XjcGUsuxH0cdNvLKGBPEiWwBGaYTH9oF/view?usp=share_link" TargetMode="External"/><Relationship Id="rId152" Type="http://schemas.openxmlformats.org/officeDocument/2006/relationships/hyperlink" Target="https://drive.google.com/file/d/11eTucD0gw7s_cah3c1iKSc_tw7gnUq1W/view?usp=share_link" TargetMode="External"/><Relationship Id="rId173" Type="http://schemas.openxmlformats.org/officeDocument/2006/relationships/hyperlink" Target="https://drive.google.com/file/d/1q4eD3mBocx4f-ugzS-wy88cv-gT3J36h/view?usp=share_link" TargetMode="External"/><Relationship Id="rId194" Type="http://schemas.openxmlformats.org/officeDocument/2006/relationships/hyperlink" Target="https://drive.google.com/file/d/16CWAl3X0U2iQQqxbMs6CiFReyLm3GARj/view?usp=share_link" TargetMode="External"/><Relationship Id="rId199" Type="http://schemas.openxmlformats.org/officeDocument/2006/relationships/hyperlink" Target="https://drive.google.com/drive/folders/1PwuCEq9ffy4aj1ZpVtnhLnqTYT50UNE6?usp=share_link" TargetMode="External"/><Relationship Id="rId203" Type="http://schemas.openxmlformats.org/officeDocument/2006/relationships/hyperlink" Target="https://drive.google.com/file/d/1q5fhL3ThAU7JaGQRr0Yod1th4BeKQ2ut/view?usp=share_link" TargetMode="External"/><Relationship Id="rId19" Type="http://schemas.openxmlformats.org/officeDocument/2006/relationships/hyperlink" Target="https://drive.google.com/file/d/1sAAEBZ9T0DX1sCHF-kHA7klYqEL78lzW/view?usp=share_link" TargetMode="External"/><Relationship Id="rId14" Type="http://schemas.openxmlformats.org/officeDocument/2006/relationships/hyperlink" Target="https://drive.google.com/file/d/1I8wFkGDSqjH55QvIuvQCTfVO_0JNAATb/view?usp=share_link" TargetMode="External"/><Relationship Id="rId30" Type="http://schemas.openxmlformats.org/officeDocument/2006/relationships/hyperlink" Target="https://drive.google.com/file/d/1Fh6PjXsA6EzVPLV8lHZmH6a0TgZHuSc3/view?usp=share_link" TargetMode="External"/><Relationship Id="rId35" Type="http://schemas.openxmlformats.org/officeDocument/2006/relationships/hyperlink" Target="https://drive.google.com/file/d/1bNj8wiJYyqsQukak2W1mwCYAtVTHc_Gg/view?usp=share_link" TargetMode="External"/><Relationship Id="rId56" Type="http://schemas.openxmlformats.org/officeDocument/2006/relationships/hyperlink" Target="https://drive.google.com/file/d/1VNNvl-Gd6ilN1plz8Q5zqwnNNoYEFxzX/view?usp=share_link" TargetMode="External"/><Relationship Id="rId77" Type="http://schemas.openxmlformats.org/officeDocument/2006/relationships/hyperlink" Target="https://drive.google.com/file/d/1G5vs-Ne1lN3QoIPGiTZTF3qk7HW1YEOW/view?usp=share_link" TargetMode="External"/><Relationship Id="rId100" Type="http://schemas.openxmlformats.org/officeDocument/2006/relationships/hyperlink" Target="https://drive.google.com/file/d/14sXkyXeoOjpWW7b0xXJFB6koZGAhbKJq/view?usp=sharing" TargetMode="External"/><Relationship Id="rId105" Type="http://schemas.openxmlformats.org/officeDocument/2006/relationships/hyperlink" Target="https://drive.google.com/file/d/13qB2Dt1Czc1oWQdEeDykyJ4TksL1zZSi/view?usp=share_link" TargetMode="External"/><Relationship Id="rId126" Type="http://schemas.openxmlformats.org/officeDocument/2006/relationships/hyperlink" Target="https://drive.google.com/file/d/1KdnZDsRgiVHYidXNhp3FJwdQuzsWh0CU/view?usp=share_link" TargetMode="External"/><Relationship Id="rId147" Type="http://schemas.openxmlformats.org/officeDocument/2006/relationships/hyperlink" Target="https://drive.google.com/file/d/16UUUy0NbLCu9VeaoeyLSV3Aiecpvt-ha/view?usp=share_link" TargetMode="External"/><Relationship Id="rId168" Type="http://schemas.openxmlformats.org/officeDocument/2006/relationships/hyperlink" Target="https://drive.google.com/file/d/1AoTviBlRRnAqBxlf29w3Izot-YnuZoA-/view?usp=share_link" TargetMode="External"/><Relationship Id="rId8" Type="http://schemas.openxmlformats.org/officeDocument/2006/relationships/hyperlink" Target="https://drive.google.com/file/d/1Ek9MvUEAUXwSktmeVb28t38fkY_ZPue_/view?usp=share_link" TargetMode="External"/><Relationship Id="rId51" Type="http://schemas.openxmlformats.org/officeDocument/2006/relationships/hyperlink" Target="https://drive.google.com/file/d/1DCYw6OBZ_p5lIo7i0bsH74dMJvXtQOuJ/view?usp=share_link" TargetMode="External"/><Relationship Id="rId72" Type="http://schemas.openxmlformats.org/officeDocument/2006/relationships/hyperlink" Target="https://drive.google.com/file/d/1w2t1Fk87h5WCYaF65a-ha1GLL4OtwtKs/view?usp=share_link" TargetMode="External"/><Relationship Id="rId93" Type="http://schemas.openxmlformats.org/officeDocument/2006/relationships/hyperlink" Target="https://drive.google.com/file/d/12mffrBLBITte0Cc51yOpNSIQH6nx1v-b/view?usp=share_link" TargetMode="External"/><Relationship Id="rId98" Type="http://schemas.openxmlformats.org/officeDocument/2006/relationships/hyperlink" Target="https://drive.google.com/file/d/1bIADAedKdDbcdoCx4CGxtS-KbzywQDDZ/view?usp=share_link" TargetMode="External"/><Relationship Id="rId121" Type="http://schemas.openxmlformats.org/officeDocument/2006/relationships/hyperlink" Target="https://drive.google.com/file/d/16rKKKbWBGXMJmg8AbhiOnQbhvyWiOQWg/view?usp=share_link" TargetMode="External"/><Relationship Id="rId142" Type="http://schemas.openxmlformats.org/officeDocument/2006/relationships/hyperlink" Target="https://drive.google.com/file/d/1aEbQqD6ua-LK2zsepUpAPk7YCUnnaMfK/view?usp=share_link" TargetMode="External"/><Relationship Id="rId163" Type="http://schemas.openxmlformats.org/officeDocument/2006/relationships/hyperlink" Target="https://drive.google.com/file/d/1U6ydb90CV9QGMAo-U9onpKMaJJiU7Nfj/view?usp=share_link" TargetMode="External"/><Relationship Id="rId184" Type="http://schemas.openxmlformats.org/officeDocument/2006/relationships/hyperlink" Target="https://drive.google.com/file/d/1TUY9LcfaThjK37ylimkPRAsGbPSqGxdA/view?usp=share_link" TargetMode="External"/><Relationship Id="rId189" Type="http://schemas.openxmlformats.org/officeDocument/2006/relationships/hyperlink" Target="https://drive.google.com/file/d/1E683ErxsI5ppSrB_FWbx1TAj_lIVZ2V1/view?usp=share_link" TargetMode="External"/><Relationship Id="rId3" Type="http://schemas.openxmlformats.org/officeDocument/2006/relationships/hyperlink" Target="https://drive.google.com/file/d/19cd1fJC_wDnBxFO1ncF1L_kG7D9iKgaV/view?usp=share_link" TargetMode="External"/><Relationship Id="rId25" Type="http://schemas.openxmlformats.org/officeDocument/2006/relationships/hyperlink" Target="https://drive.google.com/file/d/12Fwpq1RsIqbRJLUyPdnEZQT42GdqPveT/view?usp=share_link" TargetMode="External"/><Relationship Id="rId46" Type="http://schemas.openxmlformats.org/officeDocument/2006/relationships/hyperlink" Target="https://drive.google.com/file/d/1gbz0fpuSUaP9iQ4IAguUdL7abCecaygF/view?usp=share_link" TargetMode="External"/><Relationship Id="rId67" Type="http://schemas.openxmlformats.org/officeDocument/2006/relationships/hyperlink" Target="https://drive.google.com/file/d/1xonYJst707ymqAeDSmuJX3krIY7r4KF1/view?usp=share_link" TargetMode="External"/><Relationship Id="rId116" Type="http://schemas.openxmlformats.org/officeDocument/2006/relationships/hyperlink" Target="https://drive.google.com/file/d/1WmR7Lttj4M1hajxJXWThYITpRG7W6dYR/view?usp=share_link" TargetMode="External"/><Relationship Id="rId137" Type="http://schemas.openxmlformats.org/officeDocument/2006/relationships/hyperlink" Target="https://drive.google.com/file/d/1-ipmO22slmbQ5_kFL_EMnoCxAPoKhlca/view?usp=share_link" TargetMode="External"/><Relationship Id="rId158" Type="http://schemas.openxmlformats.org/officeDocument/2006/relationships/hyperlink" Target="https://drive.google.com/file/d/1bWSlB3U4fXw8gHV9WS0Vl7cU-fscVRoe/view?usp=share_link" TargetMode="External"/><Relationship Id="rId20" Type="http://schemas.openxmlformats.org/officeDocument/2006/relationships/hyperlink" Target="https://drive.google.com/file/d/1VUF7W4e5Z2Lih1CdKpe_00WFs9XFUbrf/view?usp=share_link" TargetMode="External"/><Relationship Id="rId41" Type="http://schemas.openxmlformats.org/officeDocument/2006/relationships/hyperlink" Target="https://drive.google.com/file/d/1LC8g7mA3x78T9jxHEBJAOQJe8KUQg_3r/view?usp=share_link" TargetMode="External"/><Relationship Id="rId62" Type="http://schemas.openxmlformats.org/officeDocument/2006/relationships/hyperlink" Target="https://drive.google.com/file/d/1R5p6ThlIZnGVOi3TRVex8msqclf11AX2/view?usp=share_link" TargetMode="External"/><Relationship Id="rId83" Type="http://schemas.openxmlformats.org/officeDocument/2006/relationships/hyperlink" Target="https://drive.google.com/file/d/1JYAmzmHP43z3scyOxNjFDjBSMCh6FMan/view?usp=share_link" TargetMode="External"/><Relationship Id="rId88" Type="http://schemas.openxmlformats.org/officeDocument/2006/relationships/hyperlink" Target="https://drive.google.com/file/d/1I5wq4kUkR0a8ACTdkU16MRXFTlfWHh8c/view?usp=share_link" TargetMode="External"/><Relationship Id="rId111" Type="http://schemas.openxmlformats.org/officeDocument/2006/relationships/hyperlink" Target="https://drive.google.com/file/d/1F5JhBBskTtKnW5gsYGMDZoctT25T6VN-/view?usp=share_link" TargetMode="External"/><Relationship Id="rId132" Type="http://schemas.openxmlformats.org/officeDocument/2006/relationships/hyperlink" Target="https://drive.google.com/file/d/1yIPhY4E05WjmVBVKvYBFznwfMt9y76Cp/view?usp=share_link" TargetMode="External"/><Relationship Id="rId153" Type="http://schemas.openxmlformats.org/officeDocument/2006/relationships/hyperlink" Target="https://drive.google.com/file/d/15uyFXI_e_bNxy2yEwHh7routAWQ8QzdS/view?usp=share_link" TargetMode="External"/><Relationship Id="rId174" Type="http://schemas.openxmlformats.org/officeDocument/2006/relationships/hyperlink" Target="https://drive.google.com/file/d/1pI5XyXpV2Lu-NJo3vo6Wehze9hRNOadG/view?usp=share_link" TargetMode="External"/><Relationship Id="rId179" Type="http://schemas.openxmlformats.org/officeDocument/2006/relationships/hyperlink" Target="https://drive.google.com/file/d/1gqi-iNFkrx2vedRZLiPF76fp7yGT3UYF/view?usp=share_link" TargetMode="External"/><Relationship Id="rId195" Type="http://schemas.openxmlformats.org/officeDocument/2006/relationships/hyperlink" Target="https://drive.google.com/file/d/162VUCElsNyrSlwElviSK3oTVq7C5QC6Z/view?usp=share_link" TargetMode="External"/><Relationship Id="rId190" Type="http://schemas.openxmlformats.org/officeDocument/2006/relationships/hyperlink" Target="https://drive.google.com/file/d/1d05YPO92AjnjJvP8tBXTrvYVjgzuVzu6/view?usp=share_link" TargetMode="External"/><Relationship Id="rId204" Type="http://schemas.openxmlformats.org/officeDocument/2006/relationships/hyperlink" Target="https://drive.google.com/file/d/1MMxyDuMY-A0xkkWSNQFva7d28MM7wxNN/view?usp=share_link" TargetMode="External"/><Relationship Id="rId15" Type="http://schemas.openxmlformats.org/officeDocument/2006/relationships/hyperlink" Target="https://drive.google.com/file/d/1VtXkuPzVdoNnvfPM3YfhYmQmbD0f9M9t/view?usp=share_link" TargetMode="External"/><Relationship Id="rId36" Type="http://schemas.openxmlformats.org/officeDocument/2006/relationships/hyperlink" Target="https://drive.google.com/file/d/1frD_1-DM1COmQ0WVlKnyZ-3AMDeeJ7qY/view?usp=share_link" TargetMode="External"/><Relationship Id="rId57" Type="http://schemas.openxmlformats.org/officeDocument/2006/relationships/hyperlink" Target="https://drive.google.com/file/d/18awxdFaddga9Hqf3UO-95xfoKXdgw8pQ/view?usp=share_link" TargetMode="External"/><Relationship Id="rId106" Type="http://schemas.openxmlformats.org/officeDocument/2006/relationships/hyperlink" Target="https://drive.google.com/file/d/1fXSijacP9O4UuResZwZhY7z8KLNHwUIJ/view?usp=sharing" TargetMode="External"/><Relationship Id="rId127" Type="http://schemas.openxmlformats.org/officeDocument/2006/relationships/hyperlink" Target="https://drive.google.com/file/d/1hUxkqZBh3cORtK6lFw-z7p1ZN2wm2wWT/view?usp=share_link" TargetMode="External"/><Relationship Id="rId10" Type="http://schemas.openxmlformats.org/officeDocument/2006/relationships/hyperlink" Target="https://drive.google.com/file/d/1Zols9YkCw40O9pwI_gZwuJ8-YukCylgJ/view?usp=share_link" TargetMode="External"/><Relationship Id="rId31" Type="http://schemas.openxmlformats.org/officeDocument/2006/relationships/hyperlink" Target="https://drive.google.com/file/d/1AT0QSzOP5njlnkAvj08MGfgrEBb79DOF/view?usp=share_link" TargetMode="External"/><Relationship Id="rId52" Type="http://schemas.openxmlformats.org/officeDocument/2006/relationships/hyperlink" Target="https://drive.google.com/file/d/1K1Fs9lQGJQ2RzJi8D1NM_SPbHcAK9ufG/view?usp=share_link" TargetMode="External"/><Relationship Id="rId73" Type="http://schemas.openxmlformats.org/officeDocument/2006/relationships/hyperlink" Target="https://drive.google.com/file/d/13xlNnRhsdRJmtOkEzqaZoVPGwIG49JqF/view?usp=share_link" TargetMode="External"/><Relationship Id="rId78" Type="http://schemas.openxmlformats.org/officeDocument/2006/relationships/hyperlink" Target="https://drive.google.com/file/d/1EgqWrojj-ohBTm-P4WI73w9W7pdQM7Yk/view?usp=share_link" TargetMode="External"/><Relationship Id="rId94" Type="http://schemas.openxmlformats.org/officeDocument/2006/relationships/hyperlink" Target="https://drive.google.com/file/d/1qdqCwqQPaORLtzZVgg3AkFh783mTiwEx/view?usp=share_link" TargetMode="External"/><Relationship Id="rId99" Type="http://schemas.openxmlformats.org/officeDocument/2006/relationships/hyperlink" Target="https://drive.google.com/file/d/15nJZ1VaW1E4WzPoqW1O-eqDJ4Q-MpraF/view?usp=sharing" TargetMode="External"/><Relationship Id="rId101" Type="http://schemas.openxmlformats.org/officeDocument/2006/relationships/hyperlink" Target="https://drive.google.com/file/d/1EQ0jDangf2lhFOgtVawUu8Ta2BcoDXuz/view?usp=sharing" TargetMode="External"/><Relationship Id="rId122" Type="http://schemas.openxmlformats.org/officeDocument/2006/relationships/hyperlink" Target="https://drive.google.com/file/d/1Y1c2ijgZNrWxkO2XYBBTbt5d2z1A0IKl/view?usp=share_link" TargetMode="External"/><Relationship Id="rId143" Type="http://schemas.openxmlformats.org/officeDocument/2006/relationships/hyperlink" Target="https://drive.google.com/file/d/1-AqRN1ZR4LxhsS4pfz6rJODqtGH_xtQv/view?usp=share_linkAqW/view?usp=share_link" TargetMode="External"/><Relationship Id="rId148" Type="http://schemas.openxmlformats.org/officeDocument/2006/relationships/hyperlink" Target="https://drive.google.com/file/d/10-JzPU_uPaxeNXtBb0it2dHM3uniNjWL/view?usp=share_link" TargetMode="External"/><Relationship Id="rId164" Type="http://schemas.openxmlformats.org/officeDocument/2006/relationships/hyperlink" Target="https://drive.google.com/file/d/1hmWmoYAl68S8oSYFDV3Pedlgxf0DURhh/view?usp=share_link" TargetMode="External"/><Relationship Id="rId169" Type="http://schemas.openxmlformats.org/officeDocument/2006/relationships/hyperlink" Target="https://drive.google.com/file/d/1yl2gc-ru9d8eXj02a81BrNC_d4wCdqs8/view?usp=share_link" TargetMode="External"/><Relationship Id="rId185" Type="http://schemas.openxmlformats.org/officeDocument/2006/relationships/hyperlink" Target="https://drive.google.com/file/d/1dkF4b3HXZsA4f0S9aRmmWPfKcU6TRx5r/view?usp=share_link" TargetMode="External"/><Relationship Id="rId4" Type="http://schemas.openxmlformats.org/officeDocument/2006/relationships/hyperlink" Target="https://drive.google.com/file/d/1XiOC2P3uBH-CRcxloibJefFKHX8DGMKi/view?usp=share_link" TargetMode="External"/><Relationship Id="rId9" Type="http://schemas.openxmlformats.org/officeDocument/2006/relationships/hyperlink" Target="https://drive.google.com/file/d/1-DjXLmxkvT9M0_2z6ZXaJKWN7X1F6bZr/view?usp=share_link" TargetMode="External"/><Relationship Id="rId180" Type="http://schemas.openxmlformats.org/officeDocument/2006/relationships/hyperlink" Target="https://drive.google.com/file/d/1TcnyiftEaliHjDCEu8j9K4LVQFfmAxc1/view?usp=share_link" TargetMode="External"/><Relationship Id="rId26" Type="http://schemas.openxmlformats.org/officeDocument/2006/relationships/hyperlink" Target="https://drive.google.com/file/d/1CCQGAJSEnuQGj_oS8o5Fyex9FV2umD96/view?usp=share_link" TargetMode="External"/><Relationship Id="rId47" Type="http://schemas.openxmlformats.org/officeDocument/2006/relationships/hyperlink" Target="https://drive.google.com/file/d/1DKOAH64ISkvoNOIrNM7h1eMVLWQcxCEQ/view?usp=share_link" TargetMode="External"/><Relationship Id="rId68" Type="http://schemas.openxmlformats.org/officeDocument/2006/relationships/hyperlink" Target="https://drive.google.com/file/d/1r_bmWNAAilvTl_iVZ8z11Q2ePhpDpsiu/view?usp=sharing" TargetMode="External"/><Relationship Id="rId89" Type="http://schemas.openxmlformats.org/officeDocument/2006/relationships/hyperlink" Target="https://drive.google.com/file/d/1bHaw-osVhJGy_SztDND80GxITPctqFap/view?usp=share_link" TargetMode="External"/><Relationship Id="rId112" Type="http://schemas.openxmlformats.org/officeDocument/2006/relationships/hyperlink" Target="https://drive.google.com/file/d/1NjlAn25cKnYlXM_TUItE-Czck8Uh6AJ4/view?usp=share_link" TargetMode="External"/><Relationship Id="rId133" Type="http://schemas.openxmlformats.org/officeDocument/2006/relationships/hyperlink" Target="https://drive.google.com/file/d/1R-7CNrsPfonZsNRjTGU85fiXONcZPJ00/view?usp=share_link" TargetMode="External"/><Relationship Id="rId154" Type="http://schemas.openxmlformats.org/officeDocument/2006/relationships/hyperlink" Target="https://drive.google.com/file/d/1S7ucDRpHZ5-LsXiaRXfhZGxdtN0d2sVF/view?usp=share_link" TargetMode="External"/><Relationship Id="rId175" Type="http://schemas.openxmlformats.org/officeDocument/2006/relationships/hyperlink" Target="https://drive.google.com/file/d/1Bn6vMf4U1xDAh90n3b-VPvSs47TaJtpR/view?usp=share_link" TargetMode="External"/><Relationship Id="rId196" Type="http://schemas.openxmlformats.org/officeDocument/2006/relationships/hyperlink" Target="https://drive.google.com/file/d/1m7f1beB6Vp9QpQuagr3y61gcJ_MsBq0M/view?usp=share_link" TargetMode="External"/><Relationship Id="rId200" Type="http://schemas.openxmlformats.org/officeDocument/2006/relationships/hyperlink" Target="https://drive.google.com/file/d/1woHjQ5iDLS_4DHfNsaF0kDCpKzLL4foC/view?usp=share_link" TargetMode="External"/><Relationship Id="rId16" Type="http://schemas.openxmlformats.org/officeDocument/2006/relationships/hyperlink" Target="https://drive.google.com/file/d/1tTviIKWLkRcz4Vx8jpqAPgMifXKwdPcl/view?usp=share_link" TargetMode="External"/><Relationship Id="rId37" Type="http://schemas.openxmlformats.org/officeDocument/2006/relationships/hyperlink" Target="https://drive.google.com/file/d/1HArzLyNUG__wWzEl1Ho-Db_BU1TojMoS/view?usp=share_link" TargetMode="External"/><Relationship Id="rId58" Type="http://schemas.openxmlformats.org/officeDocument/2006/relationships/hyperlink" Target="https://drive.google.com/file/d/1zGUGOZk2JuWPbtcnCa1jFrNDA5y5Ubps/view?usp=share_link" TargetMode="External"/><Relationship Id="rId79" Type="http://schemas.openxmlformats.org/officeDocument/2006/relationships/hyperlink" Target="https://drive.google.com/file/d/1Gtgm9--4Ske_YXdbv7zYqzaCUf9VHW24/view?usp=share_link" TargetMode="External"/><Relationship Id="rId102" Type="http://schemas.openxmlformats.org/officeDocument/2006/relationships/hyperlink" Target="https://drive.google.com/file/d/1fexD4Z43414VZGJk4nXZxo8xEHGSBUi_/view?usp=share_link" TargetMode="External"/><Relationship Id="rId123" Type="http://schemas.openxmlformats.org/officeDocument/2006/relationships/hyperlink" Target="https://drive.google.com/file/d/11qcBmmo3UUMJAjZwKupSwOEnip8TmwR5/view?usp=share_link" TargetMode="External"/><Relationship Id="rId144" Type="http://schemas.openxmlformats.org/officeDocument/2006/relationships/hyperlink" Target="https://drive.google.com/file/d/1PDP8JwIxatkGQGZBaDc4BTnAgpJmvJIZ/view?usp=share_link" TargetMode="External"/><Relationship Id="rId90" Type="http://schemas.openxmlformats.org/officeDocument/2006/relationships/hyperlink" Target="https://drive.google.com/file/d/113YlHY-edvA8C1M53qsh0r7FwP4FsHjZ/view?usp=share_link" TargetMode="External"/><Relationship Id="rId165" Type="http://schemas.openxmlformats.org/officeDocument/2006/relationships/hyperlink" Target="https://drive.google.com/file/d/116TMGgBu8YJdSxdn6DzoVnX9DF8jwh1H/view?usp=share_link" TargetMode="External"/><Relationship Id="rId186" Type="http://schemas.openxmlformats.org/officeDocument/2006/relationships/hyperlink" Target="https://drive.google.com/file/d/16MaEzcJkzPkEFFzYKRJy5mPTW2f0gGme/view?usp=share_linkw?usp=share_link" TargetMode="External"/><Relationship Id="rId27" Type="http://schemas.openxmlformats.org/officeDocument/2006/relationships/hyperlink" Target="https://drive.google.com/file/d/1CaPOFDm54n8R94qXEcZ-SLfqoMUvJhXo/view?usp=share_link" TargetMode="External"/><Relationship Id="rId48" Type="http://schemas.openxmlformats.org/officeDocument/2006/relationships/hyperlink" Target="https://drive.google.com/file/d/19D4jva7nPKT1HCNDP7q3BDaFfCfrL1GW/view?usp=share_link" TargetMode="External"/><Relationship Id="rId69" Type="http://schemas.openxmlformats.org/officeDocument/2006/relationships/hyperlink" Target="https://drive.google.com/file/d/1bM1rKUtU_i5crIch-vBraL_bAY6AOBhu/view?usp=share_link" TargetMode="External"/><Relationship Id="rId113" Type="http://schemas.openxmlformats.org/officeDocument/2006/relationships/hyperlink" Target="https://drive.google.com/file/d/12NIukT5k5VwJSnAKex5FpwzNFnq-lytg/view?usp=share_link" TargetMode="External"/><Relationship Id="rId134" Type="http://schemas.openxmlformats.org/officeDocument/2006/relationships/hyperlink" Target="https://drive.google.com/file/d/1VQulexJ1J2feVlR4WTB0whdYXkB5PxTQ/view?usp=share_link" TargetMode="External"/><Relationship Id="rId80" Type="http://schemas.openxmlformats.org/officeDocument/2006/relationships/hyperlink" Target="https://drive.google.com/file/d/1cwH4cguCeffFCFY5fnUuJn4RDF42Uj2t/view?usp=share_link" TargetMode="External"/><Relationship Id="rId155" Type="http://schemas.openxmlformats.org/officeDocument/2006/relationships/hyperlink" Target="https://drive.google.com/file/d/161D_OddCxZazF3GEHogeEEZthyjwfahJ/view?usp=share_link" TargetMode="External"/><Relationship Id="rId176" Type="http://schemas.openxmlformats.org/officeDocument/2006/relationships/hyperlink" Target="https://drive.google.com/file/d/1SgK3Fom2NBzXqKdjaWaphx_LWjMzJVJF/view?usp=share_link" TargetMode="External"/><Relationship Id="rId197" Type="http://schemas.openxmlformats.org/officeDocument/2006/relationships/hyperlink" Target="https://drive.google.com/file/d/1ba12P38oi8XuW1DS6DsKV-oWT6zLBGzU/view?usp=share_link" TargetMode="External"/><Relationship Id="rId201" Type="http://schemas.openxmlformats.org/officeDocument/2006/relationships/hyperlink" Target="https://drive.google.com/file/d/1T92qQ_EaKVlockOqAjV9s2PmC4tf6TcL/view?usp=share_link" TargetMode="External"/><Relationship Id="rId17" Type="http://schemas.openxmlformats.org/officeDocument/2006/relationships/hyperlink" Target="https://drive.google.com/file/d/1bh3psBFPDGR7-LxwCJRdEkdqXQ5MNUVJ/view?usp=share_link" TargetMode="External"/><Relationship Id="rId38" Type="http://schemas.openxmlformats.org/officeDocument/2006/relationships/hyperlink" Target="https://drive.google.com/file/d/18rKL6DAMN6MCOSzVYx7AYznnm45Vc166/view?usp=share_link" TargetMode="External"/><Relationship Id="rId59" Type="http://schemas.openxmlformats.org/officeDocument/2006/relationships/hyperlink" Target="https://drive.google.com/file/d/1E9WcTZOF2IaJXn7SPqklv5GNlzjHAGSh/view?usp=share_link" TargetMode="External"/><Relationship Id="rId103" Type="http://schemas.openxmlformats.org/officeDocument/2006/relationships/hyperlink" Target="https://drive.google.com/file/d/1Wd92ezoPBjC5TE-wpkXlX-i9E3c_RQei/view?usp=share_link" TargetMode="External"/><Relationship Id="rId124" Type="http://schemas.openxmlformats.org/officeDocument/2006/relationships/hyperlink" Target="https://drive.google.com/file/d/1fmYOoyZFJUCwXITz1XIcJ7FgKMozsXCV/view?usp=share_link" TargetMode="External"/><Relationship Id="rId70" Type="http://schemas.openxmlformats.org/officeDocument/2006/relationships/hyperlink" Target="https://drive.google.com/file/d/12rI_VwMCN3iFY6CB1JCKLMEuBv1NDRqj/view?usp=share_link" TargetMode="External"/><Relationship Id="rId91" Type="http://schemas.openxmlformats.org/officeDocument/2006/relationships/hyperlink" Target="https://drive.google.com/file/d/1iwBZEWKhgyda_t3I_B9voGG2dCTq8Dfm/view?usp=share_link" TargetMode="External"/><Relationship Id="rId145" Type="http://schemas.openxmlformats.org/officeDocument/2006/relationships/hyperlink" Target="https://drive.google.com/file/d/1Y_pM2litHSCVCcQWnQ-yd7zX-jBhio0r/view?usp=share_link" TargetMode="External"/><Relationship Id="rId166" Type="http://schemas.openxmlformats.org/officeDocument/2006/relationships/hyperlink" Target="https://drive.google.com/file/d/1sRT2bBljlFV7aOr7RwnhbcdEkCJKbfXs/view?usp=share_link" TargetMode="External"/><Relationship Id="rId187" Type="http://schemas.openxmlformats.org/officeDocument/2006/relationships/hyperlink" Target="https://drive.google.com/file/d/1I2ZsdlRDLqUHQrd8T9crGYEy84QtZbVF/view?usp=share_link" TargetMode="External"/><Relationship Id="rId1" Type="http://schemas.openxmlformats.org/officeDocument/2006/relationships/hyperlink" Target="https://drive.google.com/file/d/1CttUosKPoI3c4eizfRDClU63BgppDbj7/view?usp=share_link" TargetMode="External"/><Relationship Id="rId28" Type="http://schemas.openxmlformats.org/officeDocument/2006/relationships/hyperlink" Target="https://drive.google.com/file/d/14L-LE_wXku8fRP_7hsW7pnwwnVvAG4HG/view?usp=share_link" TargetMode="External"/><Relationship Id="rId49" Type="http://schemas.openxmlformats.org/officeDocument/2006/relationships/hyperlink" Target="https://drive.google.com/file/d/1Z_GLC3eKGIS_KLyjNotiGEPxT74iUSwf/view?usp=share_link" TargetMode="External"/><Relationship Id="rId114" Type="http://schemas.openxmlformats.org/officeDocument/2006/relationships/hyperlink" Target="https://drive.google.com/file/d/15d-vZLRFkqCF22tPmVoK83OH2cMxGFg6/view?usp=share_link" TargetMode="External"/><Relationship Id="rId60" Type="http://schemas.openxmlformats.org/officeDocument/2006/relationships/hyperlink" Target="https://drive.google.com/file/d/1mISw5oPLZ04CTDW6-QyKLPyilTw5EWbS/view?usp=share_link" TargetMode="External"/><Relationship Id="rId81" Type="http://schemas.openxmlformats.org/officeDocument/2006/relationships/hyperlink" Target="https://drive.google.com/file/d/1gsVoWWLfxh2zFbzRuwyK8uQrImAHp897/view?usp=share_link" TargetMode="External"/><Relationship Id="rId135" Type="http://schemas.openxmlformats.org/officeDocument/2006/relationships/hyperlink" Target="https://drive.google.com/file/d/1nFj6jS9N8GBKioovuCGTFpkyCfzXo1Xh/view?usp=share_link" TargetMode="External"/><Relationship Id="rId156" Type="http://schemas.openxmlformats.org/officeDocument/2006/relationships/hyperlink" Target="https://drive.google.com/file/d/1mAeOyl4VW2Ailqb2FmOcW9A-CIv2JapF/view?usp=share_link" TargetMode="External"/><Relationship Id="rId177" Type="http://schemas.openxmlformats.org/officeDocument/2006/relationships/hyperlink" Target="https://drive.google.com/file/d/1X1ZdT1sY2Uk-mPgCFmn4MjH_65xAGeEw/view?usp=share_link" TargetMode="External"/><Relationship Id="rId198" Type="http://schemas.openxmlformats.org/officeDocument/2006/relationships/hyperlink" Target="https://drive.google.com/file/d/10ZX2_yGVDZjjPjYB9U_vZOCWKEQPOgqC/view?usp=share_link" TargetMode="External"/><Relationship Id="rId202" Type="http://schemas.openxmlformats.org/officeDocument/2006/relationships/hyperlink" Target="https://drive.google.com/file/d/1OeYLC7V1pgob7D6wOT53Oh0QSNjoDBmo/view?usp=share_link" TargetMode="External"/><Relationship Id="rId18" Type="http://schemas.openxmlformats.org/officeDocument/2006/relationships/hyperlink" Target="https://drive.google.com/file/d/1qcWG9mIme6jWW-phIdzFwPkHAso7jsMU/view?usp=share_link" TargetMode="External"/><Relationship Id="rId39" Type="http://schemas.openxmlformats.org/officeDocument/2006/relationships/hyperlink" Target="https://drive.google.com/file/d/112bDiDFlk_oU4avWwXjc-XI5o7nKWYS8/view?usp=share_link" TargetMode="External"/><Relationship Id="rId50" Type="http://schemas.openxmlformats.org/officeDocument/2006/relationships/hyperlink" Target="https://drive.google.com/file/d/1dIQkTzjC-QwvE6JWgaTKhyCQ2z9fJnpn/view?usp=share_link" TargetMode="External"/><Relationship Id="rId104" Type="http://schemas.openxmlformats.org/officeDocument/2006/relationships/hyperlink" Target="https://drive.google.com/file/d/1AbeAsRM5SPhj30lH8etBmng-kiBKi6BI/view?usp=share_link" TargetMode="External"/><Relationship Id="rId125" Type="http://schemas.openxmlformats.org/officeDocument/2006/relationships/hyperlink" Target="https://drive.google.com/file/d/1C6vnOicH_FwvhNY4w8t9itfDQIP6LKew/view?usp=share_link" TargetMode="External"/><Relationship Id="rId146" Type="http://schemas.openxmlformats.org/officeDocument/2006/relationships/hyperlink" Target="https://drive.google.com/file/d/1gQLhWTUCczmlkIeP8afqGF_G5eNxjbCA/view?usp=share_link" TargetMode="External"/><Relationship Id="rId167" Type="http://schemas.openxmlformats.org/officeDocument/2006/relationships/hyperlink" Target="https://drive.google.com/file/d/1ZFEmyAWjuALYvtGi5rHUjZhsuYTVqwOc/view?usp=share_link" TargetMode="External"/><Relationship Id="rId188" Type="http://schemas.openxmlformats.org/officeDocument/2006/relationships/hyperlink" Target="https://drive.google.com/file/d/1w72En1ibk8GRAkTxr0ekE6fPWLkNL74N/view?usp=share_link" TargetMode="External"/><Relationship Id="rId71" Type="http://schemas.openxmlformats.org/officeDocument/2006/relationships/hyperlink" Target="https://drive.google.com/file/d/1pU8kYz5HbfQPB4dAsQO5yaZoxCq_Uj53/view?usp=share_link" TargetMode="External"/><Relationship Id="rId92" Type="http://schemas.openxmlformats.org/officeDocument/2006/relationships/hyperlink" Target="https://drive.google.com/file/d/1YUOauzwBEXs7gzDh2av9akHWcqVYt9xg/view?usp=share_link" TargetMode="External"/><Relationship Id="rId2" Type="http://schemas.openxmlformats.org/officeDocument/2006/relationships/hyperlink" Target="https://drive.google.com/file/d/19g4aTo0c6UTh6SWoCcGzHHb9kCChZXky/view?usp=share_link" TargetMode="External"/><Relationship Id="rId29" Type="http://schemas.openxmlformats.org/officeDocument/2006/relationships/hyperlink" Target="https://drive.google.com/file/d/1rt6c7diffgHXUCp9nd3nJItxSbHAAdRx/view?usp=share_link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2NIukT5k5VwJSnAKex5FpwzNFnq-lytg/view?usp=share_link" TargetMode="External"/><Relationship Id="rId21" Type="http://schemas.openxmlformats.org/officeDocument/2006/relationships/hyperlink" Target="https://drive.google.com/file/d/1VUF7W4e5Z2Lih1CdKpe_00WFs9XFUbrf/view?usp=share_link" TargetMode="External"/><Relationship Id="rId42" Type="http://schemas.openxmlformats.org/officeDocument/2006/relationships/hyperlink" Target="https://drive.google.com/file/d/1LC8g7mA3x78T9jxHEBJAOQJe8KUQg_3r/view?usp=share_link" TargetMode="External"/><Relationship Id="rId63" Type="http://schemas.openxmlformats.org/officeDocument/2006/relationships/hyperlink" Target="https://drive.google.com/file/d/1eA5IyEUHy8N0HkLm5vfA0jTNPFO6mfiP/view?usp=share_link" TargetMode="External"/><Relationship Id="rId84" Type="http://schemas.openxmlformats.org/officeDocument/2006/relationships/hyperlink" Target="https://drive.google.com/file/d/1-EGnf2Lt22hZRzmvxr3UfG1eFquzSx8q/view?usp=share_link" TargetMode="External"/><Relationship Id="rId138" Type="http://schemas.openxmlformats.org/officeDocument/2006/relationships/hyperlink" Target="https://drive.google.com/file/d/1VQulexJ1J2feVlR4WTB0whdYXkB5PxTQ/view?usp=share_link" TargetMode="External"/><Relationship Id="rId159" Type="http://schemas.openxmlformats.org/officeDocument/2006/relationships/hyperlink" Target="https://drive.google.com/file/d/161D_OddCxZazF3GEHogeEEZthyjwfahJ/view?usp=share_link" TargetMode="External"/><Relationship Id="rId170" Type="http://schemas.openxmlformats.org/officeDocument/2006/relationships/hyperlink" Target="https://drive.google.com/file/d/1hmWmoYAl68S8oSYFDV3Pedlgxf0DURhh/view?usp=share_link" TargetMode="External"/><Relationship Id="rId191" Type="http://schemas.openxmlformats.org/officeDocument/2006/relationships/hyperlink" Target="https://drive.google.com/file/d/1dkF4b3HXZsA4f0S9aRmmWPfKcU6TRx5r/view?usp=share_link" TargetMode="External"/><Relationship Id="rId205" Type="http://schemas.openxmlformats.org/officeDocument/2006/relationships/hyperlink" Target="https://drive.google.com/drive/folders/1PwuCEq9ffy4aj1ZpVtnhLnqTYT50UNE6?usp=share_link" TargetMode="External"/><Relationship Id="rId107" Type="http://schemas.openxmlformats.org/officeDocument/2006/relationships/hyperlink" Target="https://drive.google.com/file/d/1Wd92ezoPBjC5TE-wpkXlX-i9E3c_RQei/view?usp=share_link" TargetMode="External"/><Relationship Id="rId11" Type="http://schemas.openxmlformats.org/officeDocument/2006/relationships/hyperlink" Target="https://drive.google.com/file/d/1Zols9YkCw40O9pwI_gZwuJ8-YukCylgJ/view?usp=share_link" TargetMode="External"/><Relationship Id="rId32" Type="http://schemas.openxmlformats.org/officeDocument/2006/relationships/hyperlink" Target="https://drive.google.com/file/d/1AT0QSzOP5njlnkAvj08MGfgrEBb79DOF/view?usp=share_link" TargetMode="External"/><Relationship Id="rId53" Type="http://schemas.openxmlformats.org/officeDocument/2006/relationships/hyperlink" Target="https://drive.google.com/file/d/1K1Fs9lQGJQ2RzJi8D1NM_SPbHcAK9ufG/view?usp=share_link" TargetMode="External"/><Relationship Id="rId74" Type="http://schemas.openxmlformats.org/officeDocument/2006/relationships/hyperlink" Target="https://drive.google.com/file/d/1pJfqA-ly-8c0U2B7lMMF122PCmyfLinW/view?usp=share_link" TargetMode="External"/><Relationship Id="rId128" Type="http://schemas.openxmlformats.org/officeDocument/2006/relationships/hyperlink" Target="https://drive.google.com/file/d/1fmYOoyZFJUCwXITz1XIcJ7FgKMozsXCV/view?usp=share_link" TargetMode="External"/><Relationship Id="rId149" Type="http://schemas.openxmlformats.org/officeDocument/2006/relationships/hyperlink" Target="https://drive.google.com/file/d/1Y_pM2litHSCVCcQWnQ-yd7zX-jBhio0r/view?usp=share_link" TargetMode="External"/><Relationship Id="rId5" Type="http://schemas.openxmlformats.org/officeDocument/2006/relationships/hyperlink" Target="https://drive.google.com/file/d/1XiOC2P3uBH-CRcxloibJefFKHX8DGMKi/view?usp=share_link" TargetMode="External"/><Relationship Id="rId95" Type="http://schemas.openxmlformats.org/officeDocument/2006/relationships/hyperlink" Target="https://drive.google.com/file/d/1iwBZEWKhgyda_t3I_B9voGG2dCTq8Dfm/view?usp=share_link" TargetMode="External"/><Relationship Id="rId160" Type="http://schemas.openxmlformats.org/officeDocument/2006/relationships/hyperlink" Target="https://drive.google.com/file/d/1mAeOyl4VW2Ailqb2FmOcW9A-CIv2JapF/view?usp=share_link" TargetMode="External"/><Relationship Id="rId181" Type="http://schemas.openxmlformats.org/officeDocument/2006/relationships/hyperlink" Target="https://drive.google.com/file/d/1MMxyDuMY-A0xkkWSNQFva7d28MM7wxNN/view?usp=share_link" TargetMode="External"/><Relationship Id="rId22" Type="http://schemas.openxmlformats.org/officeDocument/2006/relationships/hyperlink" Target="https://drive.google.com/file/d/12kFUOlCMateEovvwgGmbI4fKl3bhHowO/view?usp=sharing" TargetMode="External"/><Relationship Id="rId43" Type="http://schemas.openxmlformats.org/officeDocument/2006/relationships/hyperlink" Target="https://drive.google.com/file/d/1q4LY7oF99vmMLUwx0MhO02pwiMHoEfR9/view?usp=share_link" TargetMode="External"/><Relationship Id="rId64" Type="http://schemas.openxmlformats.org/officeDocument/2006/relationships/hyperlink" Target="https://drive.google.com/file/d/1ECr8DnmAyDxL4_KMEFuTYbf5yYohlEnp/view?usp=share_link" TargetMode="External"/><Relationship Id="rId118" Type="http://schemas.openxmlformats.org/officeDocument/2006/relationships/hyperlink" Target="https://drive.google.com/file/d/15d-vZLRFkqCF22tPmVoK83OH2cMxGFg6/view?usp=share_link" TargetMode="External"/><Relationship Id="rId139" Type="http://schemas.openxmlformats.org/officeDocument/2006/relationships/hyperlink" Target="https://drive.google.com/file/d/1nFj6jS9N8GBKioovuCGTFpkyCfzXo1Xh/view?usp=share_link" TargetMode="External"/><Relationship Id="rId85" Type="http://schemas.openxmlformats.org/officeDocument/2006/relationships/hyperlink" Target="https://drive.google.com/file/d/1l_HfvIziQjC_GBN7D8uiWADZksZ9CjnJ/view?usp=share_link" TargetMode="External"/><Relationship Id="rId150" Type="http://schemas.openxmlformats.org/officeDocument/2006/relationships/hyperlink" Target="https://drive.google.com/file/d/1gQLhWTUCczmlkIeP8afqGF_G5eNxjbCA/view?usp=share_link" TargetMode="External"/><Relationship Id="rId171" Type="http://schemas.openxmlformats.org/officeDocument/2006/relationships/hyperlink" Target="https://drive.google.com/file/d/116TMGgBu8YJdSxdn6DzoVnX9DF8jwh1H/view?usp=share_link" TargetMode="External"/><Relationship Id="rId192" Type="http://schemas.openxmlformats.org/officeDocument/2006/relationships/hyperlink" Target="https://drive.google.com/file/d/16MaEzcJkzPkEFFzYKRJy5mPTW2f0gGme/view?usp=share_linkw?usp=share_link" TargetMode="External"/><Relationship Id="rId206" Type="http://schemas.openxmlformats.org/officeDocument/2006/relationships/hyperlink" Target="https://drive.google.com/file/d/1woHjQ5iDLS_4DHfNsaF0kDCpKzLL4foC/view?usp=share_link" TargetMode="External"/><Relationship Id="rId12" Type="http://schemas.openxmlformats.org/officeDocument/2006/relationships/hyperlink" Target="https://drive.google.com/file/d/1FUzpEoAQAH_Db8cvvZCUvD6JLKwQVEiP/view?usp=share_link" TargetMode="External"/><Relationship Id="rId33" Type="http://schemas.openxmlformats.org/officeDocument/2006/relationships/hyperlink" Target="https://drive.google.com/file/d/18PLt-HrmH_8jvIYwZKaNumLPJr2EggW_/view?usp=share_link" TargetMode="External"/><Relationship Id="rId108" Type="http://schemas.openxmlformats.org/officeDocument/2006/relationships/hyperlink" Target="https://drive.google.com/file/d/1AbeAsRM5SPhj30lH8etBmng-kiBKi6BI/view?usp=share_link" TargetMode="External"/><Relationship Id="rId129" Type="http://schemas.openxmlformats.org/officeDocument/2006/relationships/hyperlink" Target="https://drive.google.com/file/d/1C6vnOicH_FwvhNY4w8t9itfDQIP6LKew/view?usp=share_link" TargetMode="External"/><Relationship Id="rId54" Type="http://schemas.openxmlformats.org/officeDocument/2006/relationships/hyperlink" Target="https://drive.google.com/file/d/1xobRKn53AJPR2uXCqoMYotvig3l3RIZk/view?usp=share_link" TargetMode="External"/><Relationship Id="rId75" Type="http://schemas.openxmlformats.org/officeDocument/2006/relationships/hyperlink" Target="https://drive.google.com/file/d/13SSN3GTqmmSRRCXq3VJ0nHsn121CpJmJ/view?usp=share_link" TargetMode="External"/><Relationship Id="rId96" Type="http://schemas.openxmlformats.org/officeDocument/2006/relationships/hyperlink" Target="https://drive.google.com/file/d/1YUOauzwBEXs7gzDh2av9akHWcqVYt9xg/view?usp=share_link" TargetMode="External"/><Relationship Id="rId140" Type="http://schemas.openxmlformats.org/officeDocument/2006/relationships/hyperlink" Target="https://drive.google.com/file/d/13_LLztWhth-m7-Pmek_ShBT9nFpj3IUn/view?usp=share_link" TargetMode="External"/><Relationship Id="rId161" Type="http://schemas.openxmlformats.org/officeDocument/2006/relationships/hyperlink" Target="https://drive.google.com/file/d/11Xdm_MH1setxprBVvdUSiTGunX1VrFzA/view?usp=share_link" TargetMode="External"/><Relationship Id="rId182" Type="http://schemas.openxmlformats.org/officeDocument/2006/relationships/hyperlink" Target="https://drive.google.com/file/d/1SgK3Fom2NBzXqKdjaWaphx_LWjMzJVJF/view?usp=share_link" TargetMode="External"/><Relationship Id="rId6" Type="http://schemas.openxmlformats.org/officeDocument/2006/relationships/hyperlink" Target="https://drive.google.com/file/d/1NPyWWtGbskpT3OZIyYOhlNprlHzwhtkY/view?usp=share_link" TargetMode="External"/><Relationship Id="rId23" Type="http://schemas.openxmlformats.org/officeDocument/2006/relationships/hyperlink" Target="https://drive.google.com/file/d/1mR6F9ZStIiad85c_IeAgfyMsxFdevbbX/view?usp=share_link" TargetMode="External"/><Relationship Id="rId119" Type="http://schemas.openxmlformats.org/officeDocument/2006/relationships/hyperlink" Target="https://drive.google.com/file/d/12jW-8wpDp6ZywsR9yJ6QsISuenA_WP10/view?usp=sharing" TargetMode="External"/><Relationship Id="rId44" Type="http://schemas.openxmlformats.org/officeDocument/2006/relationships/hyperlink" Target="https://drive.google.com/file/d/1RSvgO1Z_zQqqS3_3XtbYK7RcQSwqmlDe/view?usp=share_link" TargetMode="External"/><Relationship Id="rId65" Type="http://schemas.openxmlformats.org/officeDocument/2006/relationships/hyperlink" Target="https://drive.google.com/file/d/1bBg2QS2meuSt9752u2H98P0P4Y3wf-2Z/view?usp=share_link" TargetMode="External"/><Relationship Id="rId86" Type="http://schemas.openxmlformats.org/officeDocument/2006/relationships/hyperlink" Target="https://drive.google.com/file/d/1n0oHwkZyiHRqEKLxM9bBEfum_j7_31_g/view?usp=share_link" TargetMode="External"/><Relationship Id="rId130" Type="http://schemas.openxmlformats.org/officeDocument/2006/relationships/hyperlink" Target="https://drive.google.com/file/d/1KdnZDsRgiVHYidXNhp3FJwdQuzsWh0CU/view?usp=share_link" TargetMode="External"/><Relationship Id="rId151" Type="http://schemas.openxmlformats.org/officeDocument/2006/relationships/hyperlink" Target="https://drive.google.com/file/d/16UUUy0NbLCu9VeaoeyLSV3Aiecpvt-ha/view?usp=share_link" TargetMode="External"/><Relationship Id="rId172" Type="http://schemas.openxmlformats.org/officeDocument/2006/relationships/hyperlink" Target="https://drive.google.com/file/d/1sRT2bBljlFV7aOr7RwnhbcdEkCJKbfXs/view?usp=share_link" TargetMode="External"/><Relationship Id="rId193" Type="http://schemas.openxmlformats.org/officeDocument/2006/relationships/hyperlink" Target="https://drive.google.com/file/d/1I2ZsdlRDLqUHQrd8T9crGYEy84QtZbVF/view?usp=share_link" TargetMode="External"/><Relationship Id="rId207" Type="http://schemas.openxmlformats.org/officeDocument/2006/relationships/hyperlink" Target="https://drive.google.com/file/d/1T92qQ_EaKVlockOqAjV9s2PmC4tf6TcL/view?usp=share_link" TargetMode="External"/><Relationship Id="rId13" Type="http://schemas.openxmlformats.org/officeDocument/2006/relationships/hyperlink" Target="https://drive.google.com/file/d/1dW6n1F9QqyCiYlM9QOrn-dV2MgvXWC4K/view?usp=share_link" TargetMode="External"/><Relationship Id="rId109" Type="http://schemas.openxmlformats.org/officeDocument/2006/relationships/hyperlink" Target="https://drive.google.com/file/d/13qB2Dt1Czc1oWQdEeDykyJ4TksL1zZSi/view?usp=share_link" TargetMode="External"/><Relationship Id="rId34" Type="http://schemas.openxmlformats.org/officeDocument/2006/relationships/hyperlink" Target="https://drive.google.com/file/d/1ZT-md2Qg_i1Ray3T1XVpwpK8U7Sks2Qy/view?usp=share_link" TargetMode="External"/><Relationship Id="rId55" Type="http://schemas.openxmlformats.org/officeDocument/2006/relationships/hyperlink" Target="https://drive.google.com/file/d/1rTS5VdqIvLLbgFqK8-gYaBAUwYfKQam1/view?usp=share_link" TargetMode="External"/><Relationship Id="rId76" Type="http://schemas.openxmlformats.org/officeDocument/2006/relationships/hyperlink" Target="https://drive.google.com/file/d/1RtIBwdeExQtw7W9gEtblktEwzqUUceWK/view?usp=share_link" TargetMode="External"/><Relationship Id="rId97" Type="http://schemas.openxmlformats.org/officeDocument/2006/relationships/hyperlink" Target="https://drive.google.com/file/d/12mffrBLBITte0Cc51yOpNSIQH6nx1v-b/view?usp=share_link" TargetMode="External"/><Relationship Id="rId120" Type="http://schemas.openxmlformats.org/officeDocument/2006/relationships/hyperlink" Target="https://drive.google.com/file/d/1WmR7Lttj4M1hajxJXWThYITpRG7W6dYR/view?usp=share_link" TargetMode="External"/><Relationship Id="rId141" Type="http://schemas.openxmlformats.org/officeDocument/2006/relationships/hyperlink" Target="https://drive.google.com/file/d/1-ipmO22slmbQ5_kFL_EMnoCxAPoKhlca/view?usp=share_link" TargetMode="External"/><Relationship Id="rId7" Type="http://schemas.openxmlformats.org/officeDocument/2006/relationships/hyperlink" Target="https://drive.google.com/file/d/1QqXB5bEoAqotDq62ERMmAsUPGSfK2nqW/view?usp=share_link" TargetMode="External"/><Relationship Id="rId162" Type="http://schemas.openxmlformats.org/officeDocument/2006/relationships/hyperlink" Target="https://drive.google.com/file/d/1bWSlB3U4fXw8gHV9WS0Vl7cU-fscVRoe/view?usp=share_link" TargetMode="External"/><Relationship Id="rId183" Type="http://schemas.openxmlformats.org/officeDocument/2006/relationships/hyperlink" Target="https://drive.google.com/file/d/1X1ZdT1sY2Uk-mPgCFmn4MjH_65xAGeEw/view?usp=share_link" TargetMode="External"/><Relationship Id="rId24" Type="http://schemas.openxmlformats.org/officeDocument/2006/relationships/hyperlink" Target="https://drive.google.com/file/d/1ce-LeUZKD5U9A6Ke8kfm9Kmoip0evZo6/view?usp=share_link" TargetMode="External"/><Relationship Id="rId45" Type="http://schemas.openxmlformats.org/officeDocument/2006/relationships/hyperlink" Target="https://drive.google.com/file/d/1qEwziQdw-EMubcLCuWI0d-oLP63DJbxI/view?usp=share_link" TargetMode="External"/><Relationship Id="rId66" Type="http://schemas.openxmlformats.org/officeDocument/2006/relationships/hyperlink" Target="https://drive.google.com/file/d/1bjuTJR6q-8zaG-C0IAEZAGvIyucMeMfZ/view?usp=share_link" TargetMode="External"/><Relationship Id="rId87" Type="http://schemas.openxmlformats.org/officeDocument/2006/relationships/hyperlink" Target="https://drive.google.com/file/d/1DC9q8_E5TWg0SPWHtfJVWY2qvnlpTxMe/view?usp=share_link" TargetMode="External"/><Relationship Id="rId110" Type="http://schemas.openxmlformats.org/officeDocument/2006/relationships/hyperlink" Target="https://drive.google.com/file/d/1fXSijacP9O4UuResZwZhY7z8KLNHwUIJ/view?usp=sharing" TargetMode="External"/><Relationship Id="rId131" Type="http://schemas.openxmlformats.org/officeDocument/2006/relationships/hyperlink" Target="https://drive.google.com/file/d/1hUxkqZBh3cORtK6lFw-z7p1ZN2wm2wWT/view?usp=share_link" TargetMode="External"/><Relationship Id="rId152" Type="http://schemas.openxmlformats.org/officeDocument/2006/relationships/hyperlink" Target="https://drive.google.com/file/d/10-JzPU_uPaxeNXtBb0it2dHM3uniNjWL/view?usp=share_link" TargetMode="External"/><Relationship Id="rId173" Type="http://schemas.openxmlformats.org/officeDocument/2006/relationships/hyperlink" Target="https://drive.google.com/file/d/1ZFEmyAWjuALYvtGi5rHUjZhsuYTVqwOc/view?usp=share_link" TargetMode="External"/><Relationship Id="rId194" Type="http://schemas.openxmlformats.org/officeDocument/2006/relationships/hyperlink" Target="https://drive.google.com/file/d/1w72En1ibk8GRAkTxr0ekE6fPWLkNL74N/view?usp=share_link" TargetMode="External"/><Relationship Id="rId208" Type="http://schemas.openxmlformats.org/officeDocument/2006/relationships/hyperlink" Target="https://drive.google.com/file/d/1OeYLC7V1pgob7D6wOT53Oh0QSNjoDBmo/view?usp=share_link" TargetMode="External"/><Relationship Id="rId19" Type="http://schemas.openxmlformats.org/officeDocument/2006/relationships/hyperlink" Target="https://drive.google.com/file/d/1qcWG9mIme6jWW-phIdzFwPkHAso7jsMU/view?usp=share_link" TargetMode="External"/><Relationship Id="rId14" Type="http://schemas.openxmlformats.org/officeDocument/2006/relationships/hyperlink" Target="https://drive.google.com/file/d/17nITadebh9qfGafAyQ-Z-F3Dy7_IG12g/view?usp=share_link" TargetMode="External"/><Relationship Id="rId30" Type="http://schemas.openxmlformats.org/officeDocument/2006/relationships/hyperlink" Target="https://drive.google.com/file/d/1rt6c7diffgHXUCp9nd3nJItxSbHAAdRx/view?usp=share_link" TargetMode="External"/><Relationship Id="rId35" Type="http://schemas.openxmlformats.org/officeDocument/2006/relationships/hyperlink" Target="https://drive.google.com/file/d/1OdABuq6uIA4i75cOTssNCK_eX57UJILh/view?usp=share_link" TargetMode="External"/><Relationship Id="rId56" Type="http://schemas.openxmlformats.org/officeDocument/2006/relationships/hyperlink" Target="https://drive.google.com/file/d/13K6-10Q7EyGh887caUjfPLWJRoSfKwdk/view?usp=share_link" TargetMode="External"/><Relationship Id="rId77" Type="http://schemas.openxmlformats.org/officeDocument/2006/relationships/hyperlink" Target="https://drive.google.com/file/d/1G5vs-Ne1lN3QoIPGiTZTF3qk7HW1YEOW/view?usp=share_link" TargetMode="External"/><Relationship Id="rId100" Type="http://schemas.openxmlformats.org/officeDocument/2006/relationships/hyperlink" Target="https://drive.google.com/file/d/1W8UOUi3rnfXjHfQ0f0B0neVrlWRLSBfY/view?usp=share_link" TargetMode="External"/><Relationship Id="rId105" Type="http://schemas.openxmlformats.org/officeDocument/2006/relationships/hyperlink" Target="https://drive.google.com/file/d/1EQ0jDangf2lhFOgtVawUu8Ta2BcoDXuz/view?usp=sharing" TargetMode="External"/><Relationship Id="rId126" Type="http://schemas.openxmlformats.org/officeDocument/2006/relationships/hyperlink" Target="https://drive.google.com/file/d/1Y1c2ijgZNrWxkO2XYBBTbt5d2z1A0IKl/view?usp=share_link" TargetMode="External"/><Relationship Id="rId147" Type="http://schemas.openxmlformats.org/officeDocument/2006/relationships/hyperlink" Target="https://drive.google.com/file/d/1-AqRN1ZR4LxhsS4pfz6rJODqtGH_xtQv/view?usp=share_linkAqW/view?usp=share_link" TargetMode="External"/><Relationship Id="rId168" Type="http://schemas.openxmlformats.org/officeDocument/2006/relationships/hyperlink" Target="https://drive.google.com/file/d/1jbl5pLc2KCRW7EBFJMjd9-o1v8HJv81R/view?usp=share_link" TargetMode="External"/><Relationship Id="rId8" Type="http://schemas.openxmlformats.org/officeDocument/2006/relationships/hyperlink" Target="https://drive.google.com/file/d/1WHciP_ETIAESyNfVKAV6OplZbTanic7s/view?usp=share_link" TargetMode="External"/><Relationship Id="rId51" Type="http://schemas.openxmlformats.org/officeDocument/2006/relationships/hyperlink" Target="https://drive.google.com/file/d/1dIQkTzjC-QwvE6JWgaTKhyCQ2z9fJnpn/view?usp=share_link" TargetMode="External"/><Relationship Id="rId72" Type="http://schemas.openxmlformats.org/officeDocument/2006/relationships/hyperlink" Target="https://drive.google.com/file/d/1w2t1Fk87h5WCYaF65a-ha1GLL4OtwtKs/view?usp=share_link" TargetMode="External"/><Relationship Id="rId93" Type="http://schemas.openxmlformats.org/officeDocument/2006/relationships/hyperlink" Target="https://drive.google.com/file/d/1OsbqM8FgB4N6rqAaFSl7srIYqx0QqnEP/view?usp=share_link" TargetMode="External"/><Relationship Id="rId98" Type="http://schemas.openxmlformats.org/officeDocument/2006/relationships/hyperlink" Target="https://drive.google.com/file/d/1qdqCwqQPaORLtzZVgg3AkFh783mTiwEx/view?usp=share_link" TargetMode="External"/><Relationship Id="rId121" Type="http://schemas.openxmlformats.org/officeDocument/2006/relationships/hyperlink" Target="https://drive.google.com/file/d/1z-hY-VMf2IBqFcYEBBg3jLfN3qGiWXth/view?usp=share_link" TargetMode="External"/><Relationship Id="rId142" Type="http://schemas.openxmlformats.org/officeDocument/2006/relationships/hyperlink" Target="https://drive.google.com/file/d/1bbgPlwvexE_L8q8QRCBovhfjP8WF00K7/view?usp=share_link" TargetMode="External"/><Relationship Id="rId163" Type="http://schemas.openxmlformats.org/officeDocument/2006/relationships/hyperlink" Target="https://drive.google.com/file/d/1Ge5pwslwnux-po9E7pepabYYf0dGAC6D/view?usp=share_link" TargetMode="External"/><Relationship Id="rId184" Type="http://schemas.openxmlformats.org/officeDocument/2006/relationships/hyperlink" Target="https://drive.google.com/file/d/1eh7y9Mcas50m5AO7dqtlJozqTX2Qoty0/view?usp=share_link" TargetMode="External"/><Relationship Id="rId189" Type="http://schemas.openxmlformats.org/officeDocument/2006/relationships/hyperlink" Target="https://docs.google.com/document/d/1-exPjRA1R35Jf1qUhHOeERxKx71WGTJ0/edit?usp=share_link&amp;ouid=107030896646742536762&amp;rtpof=true&amp;sd=true" TargetMode="External"/><Relationship Id="rId3" Type="http://schemas.openxmlformats.org/officeDocument/2006/relationships/hyperlink" Target="https://drive.google.com/file/d/19g4aTo0c6UTh6SWoCcGzHHb9kCChZXky/view?usp=share_link" TargetMode="External"/><Relationship Id="rId214" Type="http://schemas.openxmlformats.org/officeDocument/2006/relationships/comments" Target="../comments1.xml"/><Relationship Id="rId25" Type="http://schemas.openxmlformats.org/officeDocument/2006/relationships/hyperlink" Target="https://drive.google.com/file/d/12HLWcp6ipL_1FNn1L5EWTMDGusCGRyyC/view?usp=share_link" TargetMode="External"/><Relationship Id="rId46" Type="http://schemas.openxmlformats.org/officeDocument/2006/relationships/hyperlink" Target="https://drive.google.com/file/d/1xCmbJgrsZFfe7pgdJQIxgICZgp5jSVQO/view?usp=share_link" TargetMode="External"/><Relationship Id="rId67" Type="http://schemas.openxmlformats.org/officeDocument/2006/relationships/hyperlink" Target="https://drive.google.com/file/d/1xonYJst707ymqAeDSmuJX3krIY7r4KF1/view?usp=share_link" TargetMode="External"/><Relationship Id="rId116" Type="http://schemas.openxmlformats.org/officeDocument/2006/relationships/hyperlink" Target="https://drive.google.com/file/d/1NjlAn25cKnYlXM_TUItE-Czck8Uh6AJ4/view?usp=share_link" TargetMode="External"/><Relationship Id="rId137" Type="http://schemas.openxmlformats.org/officeDocument/2006/relationships/hyperlink" Target="https://drive.google.com/file/d/1R-7CNrsPfonZsNRjTGU85fiXONcZPJ00/view?usp=share_link" TargetMode="External"/><Relationship Id="rId158" Type="http://schemas.openxmlformats.org/officeDocument/2006/relationships/hyperlink" Target="https://drive.google.com/file/d/1S7ucDRpHZ5-LsXiaRXfhZGxdtN0d2sVF/view?usp=share_link" TargetMode="External"/><Relationship Id="rId20" Type="http://schemas.openxmlformats.org/officeDocument/2006/relationships/hyperlink" Target="https://drive.google.com/file/d/1sAAEBZ9T0DX1sCHF-kHA7klYqEL78lzW/view?usp=share_link" TargetMode="External"/><Relationship Id="rId41" Type="http://schemas.openxmlformats.org/officeDocument/2006/relationships/hyperlink" Target="https://drive.google.com/file/d/1b6fsHhZRiN-8vAJFSrtAk1NznU0zqC8z/view?usp=share_link" TargetMode="External"/><Relationship Id="rId62" Type="http://schemas.openxmlformats.org/officeDocument/2006/relationships/hyperlink" Target="https://drive.google.com/file/d/1R5p6ThlIZnGVOi3TRVex8msqclf11AX2/view?usp=share_link" TargetMode="External"/><Relationship Id="rId83" Type="http://schemas.openxmlformats.org/officeDocument/2006/relationships/hyperlink" Target="https://drive.google.com/file/d/1JYAmzmHP43z3scyOxNjFDjBSMCh6FMan/view?usp=share_link" TargetMode="External"/><Relationship Id="rId88" Type="http://schemas.openxmlformats.org/officeDocument/2006/relationships/hyperlink" Target="https://drive.google.com/file/d/1I5wq4kUkR0a8ACTdkU16MRXFTlfWHh8c/view?usp=share_link" TargetMode="External"/><Relationship Id="rId111" Type="http://schemas.openxmlformats.org/officeDocument/2006/relationships/hyperlink" Target="https://drive.google.com/file/d/1ATmKWttx4lKMSJh23oJ7iHTEPgFEeDgq/view?usp=share_link" TargetMode="External"/><Relationship Id="rId132" Type="http://schemas.openxmlformats.org/officeDocument/2006/relationships/hyperlink" Target="https://drive.google.com/file/d/1Bd0qu0vyDeCbrfCFNXpM8o2QElR2Ihon/view?usp=share_link" TargetMode="External"/><Relationship Id="rId153" Type="http://schemas.openxmlformats.org/officeDocument/2006/relationships/hyperlink" Target="https://drive.google.com/file/d/10CtAYweFpZO_rWN11qK-mpKQ38Ll9V8r/view?usp=share_link" TargetMode="External"/><Relationship Id="rId174" Type="http://schemas.openxmlformats.org/officeDocument/2006/relationships/hyperlink" Target="https://drive.google.com/file/d/1eAvsc0R0Qbl5C2PvElEMD7hgM_x_kqEn/view?usp=share_link" TargetMode="External"/><Relationship Id="rId179" Type="http://schemas.openxmlformats.org/officeDocument/2006/relationships/hyperlink" Target="https://drive.google.com/file/d/1Bn6vMf4U1xDAh90n3b-VPvSs47TaJtpR/view?usp=share_link" TargetMode="External"/><Relationship Id="rId195" Type="http://schemas.openxmlformats.org/officeDocument/2006/relationships/hyperlink" Target="https://drive.google.com/file/d/1E683ErxsI5ppSrB_FWbx1TAj_lIVZ2V1/view?usp=share_link" TargetMode="External"/><Relationship Id="rId209" Type="http://schemas.openxmlformats.org/officeDocument/2006/relationships/hyperlink" Target="https://drive.google.com/file/d/19_QSlOpHzqE90m04MvWfXpzw-jJHHzpm/view?usp=share_link" TargetMode="External"/><Relationship Id="rId190" Type="http://schemas.openxmlformats.org/officeDocument/2006/relationships/hyperlink" Target="https://drive.google.com/file/d/1TUY9LcfaThjK37ylimkPRAsGbPSqGxdA/view?usp=share_link" TargetMode="External"/><Relationship Id="rId204" Type="http://schemas.openxmlformats.org/officeDocument/2006/relationships/hyperlink" Target="https://drive.google.com/file/d/10ZX2_yGVDZjjPjYB9U_vZOCWKEQPOgqC/view?usp=share_link" TargetMode="External"/><Relationship Id="rId15" Type="http://schemas.openxmlformats.org/officeDocument/2006/relationships/hyperlink" Target="https://drive.google.com/file/d/1I8wFkGDSqjH55QvIuvQCTfVO_0JNAATb/view?usp=share_link" TargetMode="External"/><Relationship Id="rId36" Type="http://schemas.openxmlformats.org/officeDocument/2006/relationships/hyperlink" Target="https://drive.google.com/file/d/1bNj8wiJYyqsQukak2W1mwCYAtVTHc_Gg/view?usp=share_link" TargetMode="External"/><Relationship Id="rId57" Type="http://schemas.openxmlformats.org/officeDocument/2006/relationships/hyperlink" Target="https://drive.google.com/file/d/1VNNvl-Gd6ilN1plz8Q5zqwnNNoYEFxzX/view?usp=share_link" TargetMode="External"/><Relationship Id="rId106" Type="http://schemas.openxmlformats.org/officeDocument/2006/relationships/hyperlink" Target="https://drive.google.com/file/d/1fexD4Z43414VZGJk4nXZxo8xEHGSBUi_/view?usp=share_link" TargetMode="External"/><Relationship Id="rId127" Type="http://schemas.openxmlformats.org/officeDocument/2006/relationships/hyperlink" Target="https://drive.google.com/file/d/11qcBmmo3UUMJAjZwKupSwOEnip8TmwR5/view?usp=share_link" TargetMode="External"/><Relationship Id="rId10" Type="http://schemas.openxmlformats.org/officeDocument/2006/relationships/hyperlink" Target="https://drive.google.com/file/d/1-DjXLmxkvT9M0_2z6ZXaJKWN7X1F6bZr/view?usp=share_link" TargetMode="External"/><Relationship Id="rId31" Type="http://schemas.openxmlformats.org/officeDocument/2006/relationships/hyperlink" Target="https://drive.google.com/file/d/1Fh6PjXsA6EzVPLV8lHZmH6a0TgZHuSc3/view?usp=share_link" TargetMode="External"/><Relationship Id="rId52" Type="http://schemas.openxmlformats.org/officeDocument/2006/relationships/hyperlink" Target="https://drive.google.com/file/d/1DCYw6OBZ_p5lIo7i0bsH74dMJvXtQOuJ/view?usp=share_link" TargetMode="External"/><Relationship Id="rId73" Type="http://schemas.openxmlformats.org/officeDocument/2006/relationships/hyperlink" Target="https://drive.google.com/file/d/13xlNnRhsdRJmtOkEzqaZoVPGwIG49JqF/view?usp=share_link" TargetMode="External"/><Relationship Id="rId78" Type="http://schemas.openxmlformats.org/officeDocument/2006/relationships/hyperlink" Target="https://drive.google.com/file/d/1EgqWrojj-ohBTm-P4WI73w9W7pdQM7Yk/view?usp=share_link" TargetMode="External"/><Relationship Id="rId94" Type="http://schemas.openxmlformats.org/officeDocument/2006/relationships/hyperlink" Target="https://drive.google.com/file/d/12dy5gaj2pMDOelyjS_qn1hMiw22hojro/view?usp=share_link" TargetMode="External"/><Relationship Id="rId99" Type="http://schemas.openxmlformats.org/officeDocument/2006/relationships/hyperlink" Target="https://drive.google.com/file/d/16PcrYshc8Q3StRdGqRJhp5gSDaV2PGxT/view?usp=share_link" TargetMode="External"/><Relationship Id="rId101" Type="http://schemas.openxmlformats.org/officeDocument/2006/relationships/hyperlink" Target="https://drive.google.com/file/d/12kniqwaKJ2OnWMDwvk257tDB9zxPRtNs/view?usp=share_link" TargetMode="External"/><Relationship Id="rId122" Type="http://schemas.openxmlformats.org/officeDocument/2006/relationships/hyperlink" Target="https://drive.google.com/file/d/1Gu_TllXG3LDMiqgk2t8gY7jbSqMz7ts7/view?usp=share_link" TargetMode="External"/><Relationship Id="rId143" Type="http://schemas.openxmlformats.org/officeDocument/2006/relationships/hyperlink" Target="https://drive.google.com/drive/folders/1lQca5ZtfQKQUzIHjFI_uzTiTUhntVqC2?usp=share_link" TargetMode="External"/><Relationship Id="rId148" Type="http://schemas.openxmlformats.org/officeDocument/2006/relationships/hyperlink" Target="https://drive.google.com/file/d/1PDP8JwIxatkGQGZBaDc4BTnAgpJmvJIZ/view?usp=share_link" TargetMode="External"/><Relationship Id="rId164" Type="http://schemas.openxmlformats.org/officeDocument/2006/relationships/hyperlink" Target="https://drive.google.com/file/d/1WOmqAlqaWm4t9W4RqE2FW5ZQ1VT8fWGc/view?usp=share_link" TargetMode="External"/><Relationship Id="rId169" Type="http://schemas.openxmlformats.org/officeDocument/2006/relationships/hyperlink" Target="https://drive.google.com/file/d/1U6ydb90CV9QGMAo-U9onpKMaJJiU7Nfj/view?usp=share_link" TargetMode="External"/><Relationship Id="rId185" Type="http://schemas.openxmlformats.org/officeDocument/2006/relationships/hyperlink" Target="https://drive.google.com/file/d/1gqi-iNFkrx2vedRZLiPF76fp7yGT3UYF/view?usp=share_link" TargetMode="External"/><Relationship Id="rId4" Type="http://schemas.openxmlformats.org/officeDocument/2006/relationships/hyperlink" Target="https://drive.google.com/file/d/19cd1fJC_wDnBxFO1ncF1L_kG7D9iKgaV/view?usp=share_link" TargetMode="External"/><Relationship Id="rId9" Type="http://schemas.openxmlformats.org/officeDocument/2006/relationships/hyperlink" Target="https://drive.google.com/file/d/1Ek9MvUEAUXwSktmeVb28t38fkY_ZPue_/view?usp=share_link" TargetMode="External"/><Relationship Id="rId180" Type="http://schemas.openxmlformats.org/officeDocument/2006/relationships/hyperlink" Target="https://drive.google.com/file/d/1q5fhL3ThAU7JaGQRr0Yod1th4BeKQ2ut/view?usp=share_link" TargetMode="External"/><Relationship Id="rId210" Type="http://schemas.openxmlformats.org/officeDocument/2006/relationships/hyperlink" Target="https://drive.google.com/file/d/1nhhjPjEyC5SoV9D9s3LQLhKNCW3WzYJ3/view?usp=share_link" TargetMode="External"/><Relationship Id="rId26" Type="http://schemas.openxmlformats.org/officeDocument/2006/relationships/hyperlink" Target="https://drive.google.com/file/d/12Fwpq1RsIqbRJLUyPdnEZQT42GdqPveT/view?usp=share_link" TargetMode="External"/><Relationship Id="rId47" Type="http://schemas.openxmlformats.org/officeDocument/2006/relationships/hyperlink" Target="https://drive.google.com/file/d/1gbz0fpuSUaP9iQ4IAguUdL7abCecaygF/view?usp=share_link" TargetMode="External"/><Relationship Id="rId68" Type="http://schemas.openxmlformats.org/officeDocument/2006/relationships/hyperlink" Target="https://drive.google.com/file/d/1r_bmWNAAilvTl_iVZ8z11Q2ePhpDpsiu/view?usp=sharing" TargetMode="External"/><Relationship Id="rId89" Type="http://schemas.openxmlformats.org/officeDocument/2006/relationships/hyperlink" Target="https://drive.google.com/file/d/1bHaw-osVhJGy_SztDND80GxITPctqFap/view?usp=share_link" TargetMode="External"/><Relationship Id="rId112" Type="http://schemas.openxmlformats.org/officeDocument/2006/relationships/hyperlink" Target="https://drive.google.com/file/d/1COjKnQ_lz-FUESangld8FwqRL-KQJhCu/view?usp=share_link" TargetMode="External"/><Relationship Id="rId133" Type="http://schemas.openxmlformats.org/officeDocument/2006/relationships/hyperlink" Target="https://drive.google.com/file/d/1cOWufeu4IN_-Ssa-M2Sl2-9N3HS7SdU4/view?usp=share_link" TargetMode="External"/><Relationship Id="rId154" Type="http://schemas.openxmlformats.org/officeDocument/2006/relationships/hyperlink" Target="https://drive.google.com/file/d/1dSlEd7tr47WLgt4MDRYctFImQONHhZ3q/view?usp=share_link" TargetMode="External"/><Relationship Id="rId175" Type="http://schemas.openxmlformats.org/officeDocument/2006/relationships/hyperlink" Target="https://drive.google.com/file/d/1pNyRu8srygt_ApZcsWFvGG-0JSBmjj0y/view?usp=share_link" TargetMode="External"/><Relationship Id="rId196" Type="http://schemas.openxmlformats.org/officeDocument/2006/relationships/hyperlink" Target="https://drive.google.com/file/d/1d05YPO92AjnjJvP8tBXTrvYVjgzuVzu6/view?usp=share_link" TargetMode="External"/><Relationship Id="rId200" Type="http://schemas.openxmlformats.org/officeDocument/2006/relationships/hyperlink" Target="https://drive.google.com/file/d/16CWAl3X0U2iQQqxbMs6CiFReyLm3GARj/view?usp=share_link" TargetMode="External"/><Relationship Id="rId16" Type="http://schemas.openxmlformats.org/officeDocument/2006/relationships/hyperlink" Target="https://drive.google.com/file/d/1VtXkuPzVdoNnvfPM3YfhYmQmbD0f9M9t/view?usp=share_link" TargetMode="External"/><Relationship Id="rId37" Type="http://schemas.openxmlformats.org/officeDocument/2006/relationships/hyperlink" Target="https://drive.google.com/file/d/1frD_1-DM1COmQ0WVlKnyZ-3AMDeeJ7qY/view?usp=share_link" TargetMode="External"/><Relationship Id="rId58" Type="http://schemas.openxmlformats.org/officeDocument/2006/relationships/hyperlink" Target="https://drive.google.com/file/d/18awxdFaddga9Hqf3UO-95xfoKXdgw8pQ/view?usp=share_link" TargetMode="External"/><Relationship Id="rId79" Type="http://schemas.openxmlformats.org/officeDocument/2006/relationships/hyperlink" Target="https://drive.google.com/file/d/1Gtgm9--4Ske_YXdbv7zYqzaCUf9VHW24/view?usp=share_link" TargetMode="External"/><Relationship Id="rId102" Type="http://schemas.openxmlformats.org/officeDocument/2006/relationships/hyperlink" Target="https://drive.google.com/file/d/1bIADAedKdDbcdoCx4CGxtS-KbzywQDDZ/view?usp=share_link" TargetMode="External"/><Relationship Id="rId123" Type="http://schemas.openxmlformats.org/officeDocument/2006/relationships/hyperlink" Target="https://drive.google.com/file/d/1Obswc4W9cW_pexxcmRpnnuy-eX5p3BRv/view?usp=sharing" TargetMode="External"/><Relationship Id="rId144" Type="http://schemas.openxmlformats.org/officeDocument/2006/relationships/hyperlink" Target="https://drive.google.com/file/d/1AYb6SE3AnMylK5C2OLYQU7gB0HT4_VEh/view?usp=share_link" TargetMode="External"/><Relationship Id="rId90" Type="http://schemas.openxmlformats.org/officeDocument/2006/relationships/hyperlink" Target="https://drive.google.com/file/d/113YlHY-edvA8C1M53qsh0r7FwP4FsHjZ/view?usp=share_link" TargetMode="External"/><Relationship Id="rId165" Type="http://schemas.openxmlformats.org/officeDocument/2006/relationships/hyperlink" Target="https://drive.google.com/file/d/1AoTviBlRRnAqBxlf29w3Izot-YnuZoA-/view?usp=share_link" TargetMode="External"/><Relationship Id="rId186" Type="http://schemas.openxmlformats.org/officeDocument/2006/relationships/hyperlink" Target="https://drive.google.com/file/d/1TcnyiftEaliHjDCEu8j9K4LVQFfmAxc1/view?usp=share_link" TargetMode="External"/><Relationship Id="rId211" Type="http://schemas.openxmlformats.org/officeDocument/2006/relationships/hyperlink" Target="https://drive.google.com/file/d/1nrdEZzCKvwnTES61WBYBFMzV1Ysl1hiB/view?usp=share_link" TargetMode="External"/><Relationship Id="rId27" Type="http://schemas.openxmlformats.org/officeDocument/2006/relationships/hyperlink" Target="https://drive.google.com/file/d/1CCQGAJSEnuQGj_oS8o5Fyex9FV2umD96/view?usp=share_link" TargetMode="External"/><Relationship Id="rId48" Type="http://schemas.openxmlformats.org/officeDocument/2006/relationships/hyperlink" Target="https://drive.google.com/file/d/1DKOAH64ISkvoNOIrNM7h1eMVLWQcxCEQ/view?usp=share_link" TargetMode="External"/><Relationship Id="rId69" Type="http://schemas.openxmlformats.org/officeDocument/2006/relationships/hyperlink" Target="https://drive.google.com/file/d/1bM1rKUtU_i5crIch-vBraL_bAY6AOBhu/view?usp=share_link" TargetMode="External"/><Relationship Id="rId113" Type="http://schemas.openxmlformats.org/officeDocument/2006/relationships/hyperlink" Target="https://drive.google.com/file/d/1zjhQlNeVhJVQKL7XWKf9JTiGKT99gUA_/view?usp=share_link" TargetMode="External"/><Relationship Id="rId134" Type="http://schemas.openxmlformats.org/officeDocument/2006/relationships/hyperlink" Target="https://drive.google.com/file/d/1diNZpa3lPWiXRhSd5BV_Y2-_8_yxgdeK/view?usp=share_link" TargetMode="External"/><Relationship Id="rId80" Type="http://schemas.openxmlformats.org/officeDocument/2006/relationships/hyperlink" Target="https://drive.google.com/file/d/1cwH4cguCeffFCFY5fnUuJn4RDF42Uj2t/view?usp=share_link" TargetMode="External"/><Relationship Id="rId155" Type="http://schemas.openxmlformats.org/officeDocument/2006/relationships/hyperlink" Target="https://drive.google.com/file/d/1bXVO5Ar-y5805WJ3x4R_gq2RJfYvj47Z/view?usp=share_link" TargetMode="External"/><Relationship Id="rId176" Type="http://schemas.openxmlformats.org/officeDocument/2006/relationships/hyperlink" Target="https://drive.google.com/file/d/101U4HY1X8RDP4dMXQpVCdJpEFK9pnrcy/view?usp=share_link" TargetMode="External"/><Relationship Id="rId197" Type="http://schemas.openxmlformats.org/officeDocument/2006/relationships/hyperlink" Target="https://drive.google.com/file/d/1Sr-P9qg9PgQQ6wBAR1LxtcJ9YnYsCJeP/view?usp=share_link" TargetMode="External"/><Relationship Id="rId201" Type="http://schemas.openxmlformats.org/officeDocument/2006/relationships/hyperlink" Target="https://drive.google.com/file/d/162VUCElsNyrSlwElviSK3oTVq7C5QC6Z/view?usp=share_link" TargetMode="External"/><Relationship Id="rId17" Type="http://schemas.openxmlformats.org/officeDocument/2006/relationships/hyperlink" Target="https://drive.google.com/file/d/1tTviIKWLkRcz4Vx8jpqAPgMifXKwdPcl/view?usp=share_link" TargetMode="External"/><Relationship Id="rId38" Type="http://schemas.openxmlformats.org/officeDocument/2006/relationships/hyperlink" Target="https://drive.google.com/file/d/1HArzLyNUG__wWzEl1Ho-Db_BU1TojMoS/view?usp=share_link" TargetMode="External"/><Relationship Id="rId59" Type="http://schemas.openxmlformats.org/officeDocument/2006/relationships/hyperlink" Target="https://drive.google.com/file/d/1zGUGOZk2JuWPbtcnCa1jFrNDA5y5Ubps/view?usp=share_link" TargetMode="External"/><Relationship Id="rId103" Type="http://schemas.openxmlformats.org/officeDocument/2006/relationships/hyperlink" Target="https://drive.google.com/file/d/15nJZ1VaW1E4WzPoqW1O-eqDJ4Q-MpraF/view?usp=sharing" TargetMode="External"/><Relationship Id="rId124" Type="http://schemas.openxmlformats.org/officeDocument/2006/relationships/hyperlink" Target="https://drive.google.com/file/d/18Ee3x3EUGyHNR5THFOQH4mK8wfxbttjN/view?usp=share_link" TargetMode="External"/><Relationship Id="rId70" Type="http://schemas.openxmlformats.org/officeDocument/2006/relationships/hyperlink" Target="https://drive.google.com/file/d/12rI_VwMCN3iFY6CB1JCKLMEuBv1NDRqj/view?usp=share_link" TargetMode="External"/><Relationship Id="rId91" Type="http://schemas.openxmlformats.org/officeDocument/2006/relationships/hyperlink" Target="https://drive.google.com/file/d/1MgE5dNGzyLsuh8aggUwSM0rRO_REmnw8/view?usp=share_link" TargetMode="External"/><Relationship Id="rId145" Type="http://schemas.openxmlformats.org/officeDocument/2006/relationships/hyperlink" Target="https://drive.google.com/file/d/1xPkHCRgwkl2GpotNLaYF5AQiT_VXHNMX/view?usp=share_link" TargetMode="External"/><Relationship Id="rId166" Type="http://schemas.openxmlformats.org/officeDocument/2006/relationships/hyperlink" Target="https://drive.google.com/file/d/1yl2gc-ru9d8eXj02a81BrNC_d4wCdqs8/view?usp=share_link" TargetMode="External"/><Relationship Id="rId187" Type="http://schemas.openxmlformats.org/officeDocument/2006/relationships/hyperlink" Target="https://drive.google.com/file/d/1qfj89OWHRH1TYQxUHKxea3CxzdK14jBR/view?usp=share_link" TargetMode="External"/><Relationship Id="rId1" Type="http://schemas.openxmlformats.org/officeDocument/2006/relationships/hyperlink" Target="http://k.pr/" TargetMode="External"/><Relationship Id="rId212" Type="http://schemas.openxmlformats.org/officeDocument/2006/relationships/hyperlink" Target="https://drive.google.com/drive/folders/1mACfv4uROSl_ZoMFP4xk-hp9_QTre4fH?usp=share_link" TargetMode="External"/><Relationship Id="rId28" Type="http://schemas.openxmlformats.org/officeDocument/2006/relationships/hyperlink" Target="https://drive.google.com/file/d/1CaPOFDm54n8R94qXEcZ-SLfqoMUvJhXo/view?usp=share_link" TargetMode="External"/><Relationship Id="rId49" Type="http://schemas.openxmlformats.org/officeDocument/2006/relationships/hyperlink" Target="https://drive.google.com/file/d/19D4jva7nPKT1HCNDP7q3BDaFfCfrL1GW/view?usp=share_link" TargetMode="External"/><Relationship Id="rId114" Type="http://schemas.openxmlformats.org/officeDocument/2006/relationships/hyperlink" Target="https://drive.google.com/drive/folders/1MDy7KGr2RGWxdV2xuUOtUHKAj3lNf2pI?usp=share_link" TargetMode="External"/><Relationship Id="rId60" Type="http://schemas.openxmlformats.org/officeDocument/2006/relationships/hyperlink" Target="https://drive.google.com/file/d/1mISw5oPLZ04CTDW6-QyKLPyilTw5EWbS/view?usp=share_link" TargetMode="External"/><Relationship Id="rId81" Type="http://schemas.openxmlformats.org/officeDocument/2006/relationships/hyperlink" Target="https://drive.google.com/file/d/1gsVoWWLfxh2zFbzRuwyK8uQrImAHp897/view?usp=share_link" TargetMode="External"/><Relationship Id="rId135" Type="http://schemas.openxmlformats.org/officeDocument/2006/relationships/hyperlink" Target="https://drive.google.com/file/d/1MRt4unZJAJ0SPK62NuUnh_sfC7Zpy1LQ/view?usp=share_link" TargetMode="External"/><Relationship Id="rId156" Type="http://schemas.openxmlformats.org/officeDocument/2006/relationships/hyperlink" Target="https://drive.google.com/file/d/11eTucD0gw7s_cah3c1iKSc_tw7gnUq1W/view?usp=share_link" TargetMode="External"/><Relationship Id="rId177" Type="http://schemas.openxmlformats.org/officeDocument/2006/relationships/hyperlink" Target="https://drive.google.com/file/d/1q4eD3mBocx4f-ugzS-wy88cv-gT3J36h/view?usp=share_link" TargetMode="External"/><Relationship Id="rId198" Type="http://schemas.openxmlformats.org/officeDocument/2006/relationships/hyperlink" Target="https://drive.google.com/file/d/1XYxqGbPkuAwO049OYjmxhzn7TicY4BZj/view?usp=share_link" TargetMode="External"/><Relationship Id="rId202" Type="http://schemas.openxmlformats.org/officeDocument/2006/relationships/hyperlink" Target="https://drive.google.com/file/d/1m7f1beB6Vp9QpQuagr3y61gcJ_MsBq0M/view?usp=share_link" TargetMode="External"/><Relationship Id="rId18" Type="http://schemas.openxmlformats.org/officeDocument/2006/relationships/hyperlink" Target="https://drive.google.com/file/d/1bh3psBFPDGR7-LxwCJRdEkdqXQ5MNUVJ/view?usp=share_link" TargetMode="External"/><Relationship Id="rId39" Type="http://schemas.openxmlformats.org/officeDocument/2006/relationships/hyperlink" Target="https://drive.google.com/file/d/18rKL6DAMN6MCOSzVYx7AYznnm45Vc166/view?usp=share_link" TargetMode="External"/><Relationship Id="rId50" Type="http://schemas.openxmlformats.org/officeDocument/2006/relationships/hyperlink" Target="https://drive.google.com/file/d/1Z_GLC3eKGIS_KLyjNotiGEPxT74iUSwf/view?usp=share_link" TargetMode="External"/><Relationship Id="rId104" Type="http://schemas.openxmlformats.org/officeDocument/2006/relationships/hyperlink" Target="https://drive.google.com/file/d/14sXkyXeoOjpWW7b0xXJFB6koZGAhbKJq/view?usp=sharing" TargetMode="External"/><Relationship Id="rId125" Type="http://schemas.openxmlformats.org/officeDocument/2006/relationships/hyperlink" Target="https://drive.google.com/file/d/16rKKKbWBGXMJmg8AbhiOnQbhvyWiOQWg/view?usp=share_link" TargetMode="External"/><Relationship Id="rId146" Type="http://schemas.openxmlformats.org/officeDocument/2006/relationships/hyperlink" Target="https://drive.google.com/file/d/1aEbQqD6ua-LK2zsepUpAPk7YCUnnaMfK/view?usp=share_link" TargetMode="External"/><Relationship Id="rId167" Type="http://schemas.openxmlformats.org/officeDocument/2006/relationships/hyperlink" Target="https://drive.google.com/file/d/1_LsOoLsHpbEV-p6I5oXDtDNDWLyV4oW_/view?usp=share_link" TargetMode="External"/><Relationship Id="rId188" Type="http://schemas.openxmlformats.org/officeDocument/2006/relationships/hyperlink" Target="https://drive.google.com/file/d/1cRj4bo_e4__W46DDgbhbPasRww1GhPAH/view?usp=share_link" TargetMode="External"/><Relationship Id="rId71" Type="http://schemas.openxmlformats.org/officeDocument/2006/relationships/hyperlink" Target="https://drive.google.com/file/d/1pU8kYz5HbfQPB4dAsQO5yaZoxCq_Uj53/view?usp=share_link" TargetMode="External"/><Relationship Id="rId92" Type="http://schemas.openxmlformats.org/officeDocument/2006/relationships/hyperlink" Target="https://drive.google.com/file/d/17GkzF7k6IPPoHFqOhk1w4AD_p1CGcntL/view?usp=share_link" TargetMode="External"/><Relationship Id="rId213" Type="http://schemas.openxmlformats.org/officeDocument/2006/relationships/vmlDrawing" Target="../drawings/vmlDrawing1.vml"/><Relationship Id="rId2" Type="http://schemas.openxmlformats.org/officeDocument/2006/relationships/hyperlink" Target="https://drive.google.com/file/d/1CttUosKPoI3c4eizfRDClU63BgppDbj7/view?usp=share_link" TargetMode="External"/><Relationship Id="rId29" Type="http://schemas.openxmlformats.org/officeDocument/2006/relationships/hyperlink" Target="https://drive.google.com/file/d/14L-LE_wXku8fRP_7hsW7pnwwnVvAG4HG/view?usp=share_link" TargetMode="External"/><Relationship Id="rId40" Type="http://schemas.openxmlformats.org/officeDocument/2006/relationships/hyperlink" Target="https://drive.google.com/file/d/112bDiDFlk_oU4avWwXjc-XI5o7nKWYS8/view?usp=share_link" TargetMode="External"/><Relationship Id="rId115" Type="http://schemas.openxmlformats.org/officeDocument/2006/relationships/hyperlink" Target="https://drive.google.com/file/d/1F5JhBBskTtKnW5gsYGMDZoctT25T6VN-/view?usp=share_link" TargetMode="External"/><Relationship Id="rId136" Type="http://schemas.openxmlformats.org/officeDocument/2006/relationships/hyperlink" Target="https://drive.google.com/file/d/1yIPhY4E05WjmVBVKvYBFznwfMt9y76Cp/view?usp=share_link" TargetMode="External"/><Relationship Id="rId157" Type="http://schemas.openxmlformats.org/officeDocument/2006/relationships/hyperlink" Target="https://drive.google.com/file/d/15uyFXI_e_bNxy2yEwHh7routAWQ8QzdS/view?usp=share_link" TargetMode="External"/><Relationship Id="rId178" Type="http://schemas.openxmlformats.org/officeDocument/2006/relationships/hyperlink" Target="https://drive.google.com/file/d/1pI5XyXpV2Lu-NJo3vo6Wehze9hRNOadG/view?usp=share_link" TargetMode="External"/><Relationship Id="rId61" Type="http://schemas.openxmlformats.org/officeDocument/2006/relationships/hyperlink" Target="https://drive.google.com/file/d/1-JCn4wq1tyRNVmgFh_Xd9XmQUJ67_zOo/view?usp=share_link" TargetMode="External"/><Relationship Id="rId82" Type="http://schemas.openxmlformats.org/officeDocument/2006/relationships/hyperlink" Target="https://drive.google.com/file/d/1XjcGUsuxH0cdNvLKGBPEiWwBGaYTH9oF/view?usp=share_link" TargetMode="External"/><Relationship Id="rId199" Type="http://schemas.openxmlformats.org/officeDocument/2006/relationships/hyperlink" Target="https://drive.google.com/drive/folders/1n4dxr50fIhBRtgoykqoaNNlR29bjqpHE?usp=share_link" TargetMode="External"/><Relationship Id="rId203" Type="http://schemas.openxmlformats.org/officeDocument/2006/relationships/hyperlink" Target="https://drive.google.com/file/d/1ba12P38oi8XuW1DS6DsKV-oWT6zLBGz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3"/>
  <sheetViews>
    <sheetView topLeftCell="C1" workbookViewId="0">
      <selection activeCell="I5" sqref="I5"/>
    </sheetView>
  </sheetViews>
  <sheetFormatPr defaultColWidth="14.42578125" defaultRowHeight="15" customHeight="1"/>
  <cols>
    <col min="2" max="2" width="45.140625" customWidth="1"/>
  </cols>
  <sheetData>
    <row r="1" spans="1:15">
      <c r="A1" s="560" t="s">
        <v>0</v>
      </c>
      <c r="B1" s="560" t="s">
        <v>1</v>
      </c>
      <c r="C1" s="560" t="s">
        <v>2</v>
      </c>
      <c r="D1" s="560" t="s">
        <v>3</v>
      </c>
      <c r="E1" s="562" t="s">
        <v>4</v>
      </c>
      <c r="F1" s="563" t="s">
        <v>5</v>
      </c>
      <c r="G1" s="564"/>
      <c r="H1" s="559"/>
      <c r="I1" s="565" t="s">
        <v>6</v>
      </c>
      <c r="J1" s="564"/>
      <c r="K1" s="559"/>
      <c r="L1" s="566" t="s">
        <v>7</v>
      </c>
      <c r="M1" s="564"/>
      <c r="N1" s="559"/>
      <c r="O1" s="1"/>
    </row>
    <row r="2" spans="1:15" ht="23.25">
      <c r="A2" s="561"/>
      <c r="B2" s="561"/>
      <c r="C2" s="561"/>
      <c r="D2" s="561"/>
      <c r="E2" s="561"/>
      <c r="F2" s="2" t="s">
        <v>8</v>
      </c>
      <c r="G2" s="2" t="s">
        <v>9</v>
      </c>
      <c r="H2" s="2" t="s">
        <v>10</v>
      </c>
      <c r="I2" s="3" t="s">
        <v>11</v>
      </c>
      <c r="J2" s="3" t="s">
        <v>12</v>
      </c>
      <c r="K2" s="477" t="s">
        <v>13</v>
      </c>
      <c r="L2" s="4" t="s">
        <v>11</v>
      </c>
      <c r="M2" s="4" t="s">
        <v>12</v>
      </c>
      <c r="N2" s="478" t="s">
        <v>13</v>
      </c>
      <c r="O2" s="1"/>
    </row>
    <row r="3" spans="1:15" ht="30">
      <c r="A3" s="5">
        <v>1</v>
      </c>
      <c r="B3" s="6" t="s">
        <v>14</v>
      </c>
      <c r="C3" s="5">
        <v>404</v>
      </c>
      <c r="D3" s="7">
        <v>8743222.2278736625</v>
      </c>
      <c r="E3" s="479"/>
      <c r="F3" s="479"/>
      <c r="G3" s="479"/>
      <c r="H3" s="479"/>
      <c r="I3" s="480"/>
      <c r="J3" s="480"/>
      <c r="K3" s="481"/>
      <c r="L3" s="482"/>
      <c r="M3" s="482"/>
      <c r="N3" s="483"/>
      <c r="O3" s="1"/>
    </row>
    <row r="4" spans="1:15">
      <c r="A4" s="484"/>
      <c r="B4" s="8" t="s">
        <v>15</v>
      </c>
      <c r="C4" s="9">
        <v>257</v>
      </c>
      <c r="D4" s="10">
        <v>6598565.8478736626</v>
      </c>
      <c r="E4" s="11">
        <v>6029976.237989312</v>
      </c>
      <c r="F4" s="11">
        <v>254716.35741609783</v>
      </c>
      <c r="G4" s="11">
        <v>5747159.2702323142</v>
      </c>
      <c r="H4" s="11">
        <v>6001875.6276484095</v>
      </c>
      <c r="I4" s="11">
        <v>4516550.2145995554</v>
      </c>
      <c r="J4" s="11">
        <f>D4-I4</f>
        <v>2082015.6332741072</v>
      </c>
      <c r="K4" s="11">
        <f>E4-I4</f>
        <v>1513426.0233897567</v>
      </c>
      <c r="L4" s="11">
        <v>4553794.0864008702</v>
      </c>
      <c r="M4" s="11">
        <v>1192851.9678009599</v>
      </c>
      <c r="N4" s="10">
        <v>2044771.7614727924</v>
      </c>
      <c r="O4" s="1"/>
    </row>
    <row r="5" spans="1:15" ht="29.25">
      <c r="A5" s="484"/>
      <c r="B5" s="476" t="s">
        <v>16</v>
      </c>
      <c r="C5" s="9">
        <v>147</v>
      </c>
      <c r="D5" s="10">
        <v>2144656.38</v>
      </c>
      <c r="E5" s="11">
        <v>1160220.8709426285</v>
      </c>
      <c r="F5" s="11">
        <v>50916.460900632868</v>
      </c>
      <c r="G5" s="11">
        <v>1068416.5320382849</v>
      </c>
      <c r="H5" s="11">
        <v>1119332.9929389178</v>
      </c>
      <c r="I5" s="11">
        <v>1024630.3019627642</v>
      </c>
      <c r="J5" s="367"/>
      <c r="K5" s="362"/>
      <c r="L5" s="11">
        <v>1024630.3019627642</v>
      </c>
      <c r="M5" s="367"/>
      <c r="N5" s="362"/>
      <c r="O5" s="1"/>
    </row>
    <row r="6" spans="1:15" ht="30">
      <c r="A6" s="5">
        <v>2</v>
      </c>
      <c r="B6" s="6" t="s">
        <v>17</v>
      </c>
      <c r="C6" s="5">
        <v>104</v>
      </c>
      <c r="D6" s="485"/>
      <c r="E6" s="12">
        <v>269436.02865518199</v>
      </c>
      <c r="F6" s="12">
        <v>16956.064290246104</v>
      </c>
      <c r="G6" s="12">
        <v>243731.85796085579</v>
      </c>
      <c r="H6" s="12">
        <v>260687.9222511019</v>
      </c>
      <c r="I6" s="480"/>
      <c r="J6" s="480"/>
      <c r="K6" s="481"/>
      <c r="L6" s="482"/>
      <c r="M6" s="482"/>
      <c r="N6" s="483"/>
      <c r="O6" s="1"/>
    </row>
    <row r="7" spans="1:15">
      <c r="A7" s="13">
        <v>3</v>
      </c>
      <c r="B7" s="6" t="s">
        <v>18</v>
      </c>
      <c r="C7" s="13">
        <v>6</v>
      </c>
      <c r="D7" s="486"/>
      <c r="E7" s="12">
        <v>4320.3633724280207</v>
      </c>
      <c r="F7" s="12">
        <v>1822.2368272994361</v>
      </c>
      <c r="G7" s="12">
        <v>621.49482171464672</v>
      </c>
      <c r="H7" s="12">
        <v>2443.7316490140829</v>
      </c>
      <c r="I7" s="480"/>
      <c r="J7" s="480"/>
      <c r="K7" s="481"/>
      <c r="L7" s="482"/>
      <c r="M7" s="482"/>
      <c r="N7" s="483"/>
      <c r="O7" s="1"/>
    </row>
    <row r="8" spans="1:15">
      <c r="A8" s="558" t="s">
        <v>10</v>
      </c>
      <c r="B8" s="559"/>
      <c r="C8" s="14">
        <v>514</v>
      </c>
      <c r="D8" s="15">
        <v>8743222.2278736625</v>
      </c>
      <c r="E8" s="16">
        <v>7464367.5195489116</v>
      </c>
      <c r="F8" s="16">
        <v>324411.11943427625</v>
      </c>
      <c r="G8" s="16">
        <v>7059929.1550531685</v>
      </c>
      <c r="H8" s="16">
        <v>7384340.2744874433</v>
      </c>
      <c r="I8" s="17">
        <f t="shared" ref="I8:N8" si="0">I4+I5</f>
        <v>5541180.5165623194</v>
      </c>
      <c r="J8" s="17">
        <f t="shared" si="0"/>
        <v>2082015.6332741072</v>
      </c>
      <c r="K8" s="17">
        <f t="shared" si="0"/>
        <v>1513426.0233897567</v>
      </c>
      <c r="L8" s="17">
        <f t="shared" si="0"/>
        <v>5578424.3883636342</v>
      </c>
      <c r="M8" s="17">
        <f t="shared" si="0"/>
        <v>1192851.9678009599</v>
      </c>
      <c r="N8" s="17">
        <f t="shared" si="0"/>
        <v>2044771.7614727924</v>
      </c>
      <c r="O8" s="1"/>
    </row>
    <row r="9" spans="1:15">
      <c r="A9" s="1"/>
      <c r="B9" s="18" t="s">
        <v>19</v>
      </c>
      <c r="C9" s="1"/>
      <c r="D9" s="1"/>
      <c r="E9" s="19"/>
      <c r="F9" s="19"/>
      <c r="G9" s="19"/>
      <c r="H9" s="19"/>
      <c r="I9" s="19"/>
      <c r="J9" s="19"/>
      <c r="K9" s="1"/>
      <c r="L9" s="20"/>
      <c r="M9" s="20"/>
      <c r="N9" s="1"/>
      <c r="O9" s="1"/>
    </row>
    <row r="10" spans="1:15">
      <c r="A10" s="1"/>
      <c r="B10" s="18" t="s">
        <v>20</v>
      </c>
      <c r="C10" s="1"/>
      <c r="D10" s="1"/>
      <c r="E10" s="19"/>
      <c r="F10" s="19"/>
      <c r="G10" s="19"/>
      <c r="H10" s="19"/>
      <c r="I10" s="19"/>
      <c r="J10" s="19"/>
      <c r="K10" s="1"/>
      <c r="L10" s="20"/>
      <c r="M10" s="20"/>
      <c r="N10" s="1"/>
      <c r="O10" s="1"/>
    </row>
    <row r="11" spans="1:15">
      <c r="A11" s="1"/>
      <c r="B11" s="18" t="s">
        <v>21</v>
      </c>
      <c r="C11" s="1"/>
      <c r="D11" s="1"/>
      <c r="E11" s="19"/>
      <c r="F11" s="19"/>
      <c r="G11" s="19"/>
      <c r="H11" s="19"/>
      <c r="I11" s="19"/>
      <c r="J11" s="19"/>
      <c r="K11" s="1"/>
      <c r="L11" s="20"/>
      <c r="M11" s="20"/>
      <c r="N11" s="1"/>
      <c r="O11" s="1"/>
    </row>
    <row r="12" spans="1:15">
      <c r="A12" s="1"/>
      <c r="B12" s="18" t="s">
        <v>22</v>
      </c>
      <c r="C12" s="1"/>
      <c r="D12" s="1"/>
      <c r="E12" s="19"/>
      <c r="F12" s="19"/>
      <c r="G12" s="19"/>
      <c r="H12" s="19"/>
      <c r="I12" s="19"/>
      <c r="J12" s="19"/>
      <c r="K12" s="1"/>
      <c r="L12" s="21"/>
      <c r="M12" s="20"/>
      <c r="N12" s="1"/>
      <c r="O12" s="1"/>
    </row>
    <row r="13" spans="1:15" ht="15" customHeight="1">
      <c r="B13" s="22" t="s">
        <v>23</v>
      </c>
    </row>
  </sheetData>
  <mergeCells count="9">
    <mergeCell ref="F1:H1"/>
    <mergeCell ref="I1:K1"/>
    <mergeCell ref="L1:N1"/>
    <mergeCell ref="B1:B2"/>
    <mergeCell ref="A8:B8"/>
    <mergeCell ref="A1:A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0"/>
  <sheetViews>
    <sheetView tabSelected="1" workbookViewId="0">
      <selection activeCell="G7" sqref="G7"/>
    </sheetView>
  </sheetViews>
  <sheetFormatPr defaultColWidth="14.42578125" defaultRowHeight="15" customHeight="1"/>
  <cols>
    <col min="1" max="1" width="7.28515625" customWidth="1"/>
    <col min="2" max="2" width="27" customWidth="1"/>
    <col min="3" max="19" width="15.5703125" customWidth="1"/>
    <col min="20" max="23" width="15" customWidth="1"/>
  </cols>
  <sheetData>
    <row r="1" spans="1:15" ht="27" customHeight="1">
      <c r="A1" s="573" t="s">
        <v>24</v>
      </c>
      <c r="B1" s="574"/>
      <c r="C1" s="574"/>
      <c r="D1" s="574"/>
      <c r="E1" s="574"/>
      <c r="F1" s="574"/>
      <c r="G1" s="574"/>
      <c r="H1" s="574"/>
      <c r="I1" s="574"/>
    </row>
    <row r="3" spans="1:15" ht="24.75" customHeight="1">
      <c r="A3" s="575" t="s">
        <v>0</v>
      </c>
      <c r="B3" s="576" t="s">
        <v>25</v>
      </c>
      <c r="C3" s="569" t="s">
        <v>26</v>
      </c>
      <c r="D3" s="577" t="s">
        <v>27</v>
      </c>
      <c r="E3" s="564"/>
      <c r="F3" s="559"/>
      <c r="G3" s="578" t="s">
        <v>28</v>
      </c>
      <c r="H3" s="564"/>
      <c r="I3" s="564"/>
    </row>
    <row r="4" spans="1:15" ht="31.5" customHeight="1">
      <c r="A4" s="570"/>
      <c r="B4" s="570"/>
      <c r="C4" s="570"/>
      <c r="D4" s="579" t="s">
        <v>29</v>
      </c>
      <c r="E4" s="579" t="s">
        <v>9</v>
      </c>
      <c r="F4" s="579" t="s">
        <v>10</v>
      </c>
      <c r="G4" s="580" t="s">
        <v>30</v>
      </c>
      <c r="H4" s="564"/>
      <c r="I4" s="559"/>
      <c r="O4" s="23"/>
    </row>
    <row r="5" spans="1:15" ht="40.5" customHeight="1">
      <c r="A5" s="561"/>
      <c r="B5" s="561"/>
      <c r="C5" s="561"/>
      <c r="D5" s="561"/>
      <c r="E5" s="561"/>
      <c r="F5" s="561"/>
      <c r="G5" s="24" t="s">
        <v>26</v>
      </c>
      <c r="H5" s="25" t="s">
        <v>31</v>
      </c>
      <c r="I5" s="25" t="s">
        <v>32</v>
      </c>
    </row>
    <row r="6" spans="1:15" ht="14.25" customHeight="1">
      <c r="A6" s="26"/>
      <c r="B6" s="571"/>
      <c r="C6" s="559"/>
      <c r="D6" s="27"/>
      <c r="E6" s="27"/>
      <c r="F6" s="27"/>
      <c r="G6" s="572" t="s">
        <v>33</v>
      </c>
      <c r="H6" s="564"/>
      <c r="I6" s="559"/>
    </row>
    <row r="7" spans="1:15" ht="19.5" customHeight="1">
      <c r="A7" s="28">
        <v>1</v>
      </c>
      <c r="B7" s="29" t="s">
        <v>34</v>
      </c>
      <c r="C7" s="30">
        <f>COUNTIF(Kabupaten!$C:$C,B7)</f>
        <v>23</v>
      </c>
      <c r="D7" s="31">
        <f>SUMIF(Kabupaten!C:C,B7,Kabupaten!F:F)</f>
        <v>884.31352772985156</v>
      </c>
      <c r="E7" s="31">
        <f>SUMIF(Kabupaten!C:C,B7,Kabupaten!G:G)</f>
        <v>201927.07152536046</v>
      </c>
      <c r="F7" s="31">
        <f t="shared" ref="F7:F44" si="0">SUM(D7:E7)</f>
        <v>202811.38505309031</v>
      </c>
      <c r="G7" s="30">
        <f>COUNTIFS(Kabupaten!C:C,B7,Kabupaten!I:I,"DS")+COUNTIFS(Kabupaten!C:C,B7,Kabupaten!I:I,"D")</f>
        <v>21</v>
      </c>
      <c r="H7" s="32">
        <f>SUMIFS(Kabupaten!M:M,Kabupaten!C:C,B7,Kabupaten!I:I,"DS")+SUMIFS(Kabupaten!M:M,Kabupaten!C:C,B7,Kabupaten!I:I,"D")</f>
        <v>187472.73428325355</v>
      </c>
      <c r="I7" s="32">
        <f>SUMIFS(Kabupaten!J:J,Kabupaten!C:C,B7,Kabupaten!I:I,"DS")+SUMIFS(Kabupaten!J:J,Kabupaten!C:C,B7,Kabupaten!I:I,"D")</f>
        <v>229126.68</v>
      </c>
    </row>
    <row r="8" spans="1:15" ht="19.5" customHeight="1">
      <c r="A8" s="28">
        <v>2</v>
      </c>
      <c r="B8" s="29" t="s">
        <v>35</v>
      </c>
      <c r="C8" s="30">
        <f>COUNTIF(Kabupaten!$C:$C,B8)</f>
        <v>33</v>
      </c>
      <c r="D8" s="31">
        <f>SUMIF(Kabupaten!C:C,B8,Kabupaten!F:F)</f>
        <v>9920.3267488009551</v>
      </c>
      <c r="E8" s="31">
        <f>SUMIF(Kabupaten!C:C,B8,Kabupaten!G:G)</f>
        <v>301913.21039512212</v>
      </c>
      <c r="F8" s="31">
        <f t="shared" si="0"/>
        <v>311833.53714392305</v>
      </c>
      <c r="G8" s="30">
        <f>COUNTIFS(Kabupaten!C:C,B8,Kabupaten!I:I,"DS")+COUNTIFS(Kabupaten!C:C,B8,Kabupaten!I:I,"D")</f>
        <v>19</v>
      </c>
      <c r="H8" s="32">
        <f>SUMIFS(Kabupaten!M:M,Kabupaten!C:C,B8,Kabupaten!I:I,"DS")+SUMIFS(Kabupaten!M:M,Kabupaten!C:C,B8,Kabupaten!I:I,"D")</f>
        <v>190038.94420518703</v>
      </c>
      <c r="I8" s="32">
        <f>SUMIFS(Kabupaten!J:J,Kabupaten!C:C,B8,Kabupaten!I:I,"DS")+SUMIFS(Kabupaten!J:J,Kabupaten!C:C,B8,Kabupaten!I:I,"D")</f>
        <v>241855.18</v>
      </c>
    </row>
    <row r="9" spans="1:15" ht="19.5" customHeight="1">
      <c r="A9" s="28">
        <v>3</v>
      </c>
      <c r="B9" s="29" t="s">
        <v>36</v>
      </c>
      <c r="C9" s="30">
        <f>COUNTIF(Kabupaten!$C:$C,B9)</f>
        <v>19</v>
      </c>
      <c r="D9" s="31">
        <f>SUMIF(Kabupaten!C:C,B9,Kabupaten!F:F)</f>
        <v>1937.935829853729</v>
      </c>
      <c r="E9" s="31">
        <f>SUMIF(Kabupaten!C:C,B9,Kabupaten!G:G)</f>
        <v>186583.40009928186</v>
      </c>
      <c r="F9" s="31">
        <f t="shared" si="0"/>
        <v>188521.33592913559</v>
      </c>
      <c r="G9" s="30">
        <f>COUNTIFS(Kabupaten!C:C,B9,Kabupaten!I:I,"DS")+COUNTIFS(Kabupaten!C:C,B9,Kabupaten!I:I,"D")</f>
        <v>16</v>
      </c>
      <c r="H9" s="32">
        <f>SUMIFS(Kabupaten!M:M,Kabupaten!C:C,B9,Kabupaten!I:I,"DS")+SUMIFS(Kabupaten!M:M,Kabupaten!C:C,B9,Kabupaten!I:I,"D")</f>
        <v>155642.16269408702</v>
      </c>
      <c r="I9" s="32">
        <f>SUMIFS(Kabupaten!J:J,Kabupaten!C:C,B9,Kabupaten!I:I,"DS")+SUMIFS(Kabupaten!J:J,Kabupaten!C:C,B9,Kabupaten!I:I,"D")</f>
        <v>182339.50599999999</v>
      </c>
    </row>
    <row r="10" spans="1:15" ht="19.5" customHeight="1">
      <c r="A10" s="28">
        <v>4</v>
      </c>
      <c r="B10" s="29" t="s">
        <v>37</v>
      </c>
      <c r="C10" s="30">
        <f>COUNTIF(Kabupaten!$C:$C,B10)</f>
        <v>12</v>
      </c>
      <c r="D10" s="31">
        <f>SUMIF(Kabupaten!C:C,B10,Kabupaten!F:F)</f>
        <v>226.96894074530991</v>
      </c>
      <c r="E10" s="31">
        <f>SUMIF(Kabupaten!C:C,B10,Kabupaten!G:G)</f>
        <v>58953.579756242434</v>
      </c>
      <c r="F10" s="31">
        <f t="shared" si="0"/>
        <v>59180.548696987746</v>
      </c>
      <c r="G10" s="30">
        <f>COUNTIFS(Kabupaten!C:C,B10,Kabupaten!I:I,"DS")+COUNTIFS(Kabupaten!C:C,B10,Kabupaten!I:I,"D")</f>
        <v>9</v>
      </c>
      <c r="H10" s="32">
        <f>SUMIFS(Kabupaten!M:M,Kabupaten!C:C,B10,Kabupaten!I:I,"DS")+SUMIFS(Kabupaten!M:M,Kabupaten!C:C,B10,Kabupaten!I:I,"D")</f>
        <v>35410.344781</v>
      </c>
      <c r="I10" s="32">
        <f>SUMIFS(Kabupaten!J:J,Kabupaten!C:C,B10,Kabupaten!I:I,"DS")+SUMIFS(Kabupaten!J:J,Kabupaten!C:C,B10,Kabupaten!I:I,"D")</f>
        <v>41269</v>
      </c>
    </row>
    <row r="11" spans="1:15" ht="19.5" customHeight="1">
      <c r="A11" s="28">
        <v>5</v>
      </c>
      <c r="B11" s="29" t="s">
        <v>38</v>
      </c>
      <c r="C11" s="30">
        <f>COUNTIF(Kabupaten!$C:$C,B11)</f>
        <v>11</v>
      </c>
      <c r="D11" s="31">
        <f>SUMIF(Kabupaten!C:C,B11,Kabupaten!F:F)</f>
        <v>1929.2103633050067</v>
      </c>
      <c r="E11" s="31">
        <f>SUMIF(Kabupaten!C:C,B11,Kabupaten!G:G)</f>
        <v>68031.535704953712</v>
      </c>
      <c r="F11" s="31">
        <f t="shared" si="0"/>
        <v>69960.746068258726</v>
      </c>
      <c r="G11" s="30">
        <f>COUNTIFS(Kabupaten!C:C,B11,Kabupaten!I:I,"DS")+COUNTIFS(Kabupaten!C:C,B11,Kabupaten!I:I,"D")</f>
        <v>11</v>
      </c>
      <c r="H11" s="32">
        <f>SUMIFS(Kabupaten!M:M,Kabupaten!C:C,B11,Kabupaten!I:I,"DS")+SUMIFS(Kabupaten!M:M,Kabupaten!C:C,B11,Kabupaten!I:I,"D")</f>
        <v>63022.725741118178</v>
      </c>
      <c r="I11" s="32">
        <f>SUMIFS(Kabupaten!J:J,Kabupaten!C:C,B11,Kabupaten!I:I,"DS")+SUMIFS(Kabupaten!J:J,Kabupaten!C:C,B11,Kabupaten!I:I,"D")</f>
        <v>158929.43999999997</v>
      </c>
    </row>
    <row r="12" spans="1:15" ht="19.5" customHeight="1">
      <c r="A12" s="28">
        <v>6</v>
      </c>
      <c r="B12" s="29" t="s">
        <v>39</v>
      </c>
      <c r="C12" s="30">
        <f>COUNTIF(Kabupaten!$C:$C,B12)</f>
        <v>17</v>
      </c>
      <c r="D12" s="31">
        <f>SUMIF(Kabupaten!C:C,B12,Kabupaten!F:F)</f>
        <v>38329.723895638883</v>
      </c>
      <c r="E12" s="31">
        <f>SUMIF(Kabupaten!C:C,B12,Kabupaten!G:G)</f>
        <v>481154.43906888989</v>
      </c>
      <c r="F12" s="31">
        <f t="shared" si="0"/>
        <v>519484.16296452878</v>
      </c>
      <c r="G12" s="30">
        <f>COUNTIFS(Kabupaten!C:C,B12,Kabupaten!I:I,"DS")+COUNTIFS(Kabupaten!C:C,B12,Kabupaten!I:I,"D")</f>
        <v>12</v>
      </c>
      <c r="H12" s="32">
        <f>SUMIFS(Kabupaten!M:M,Kabupaten!C:C,B12,Kabupaten!I:I,"DS")+SUMIFS(Kabupaten!M:M,Kabupaten!C:C,B12,Kabupaten!I:I,"D")</f>
        <v>326453.27275102504</v>
      </c>
      <c r="I12" s="32">
        <f>SUMIFS(Kabupaten!J:J,Kabupaten!C:C,B12,Kabupaten!I:I,"DS")+SUMIFS(Kabupaten!J:J,Kabupaten!C:C,B12,Kabupaten!I:I,"D")</f>
        <v>493216.33999999997</v>
      </c>
    </row>
    <row r="13" spans="1:15" ht="19.5" customHeight="1">
      <c r="A13" s="28">
        <v>7</v>
      </c>
      <c r="B13" s="29" t="s">
        <v>40</v>
      </c>
      <c r="C13" s="30">
        <f>COUNTIF(Kabupaten!$C:$C,B13)</f>
        <v>10</v>
      </c>
      <c r="D13" s="31">
        <f>SUMIF(Kabupaten!C:C,B13,Kabupaten!F:F)</f>
        <v>688.09867345690964</v>
      </c>
      <c r="E13" s="31">
        <f>SUMIF(Kabupaten!C:C,B13,Kabupaten!G:G)</f>
        <v>42858.72085083821</v>
      </c>
      <c r="F13" s="31">
        <f t="shared" si="0"/>
        <v>43546.819524295119</v>
      </c>
      <c r="G13" s="30">
        <f>COUNTIFS(Kabupaten!C:C,B13,Kabupaten!I:I,"DS")+COUNTIFS(Kabupaten!C:C,B13,Kabupaten!I:I,"D")</f>
        <v>9</v>
      </c>
      <c r="H13" s="32">
        <f>SUMIFS(Kabupaten!M:M,Kabupaten!C:C,B13,Kabupaten!I:I,"DS")+SUMIFS(Kabupaten!M:M,Kabupaten!C:C,B13,Kabupaten!I:I,"D")</f>
        <v>42798.410527515247</v>
      </c>
      <c r="I13" s="32">
        <f>SUMIFS(Kabupaten!J:J,Kabupaten!C:C,B13,Kabupaten!I:I,"DS")+SUMIFS(Kabupaten!J:J,Kabupaten!C:C,B13,Kabupaten!I:I,"D")</f>
        <v>51305.82</v>
      </c>
      <c r="O13" s="23"/>
    </row>
    <row r="14" spans="1:15" ht="19.5" customHeight="1">
      <c r="A14" s="28">
        <v>8</v>
      </c>
      <c r="B14" s="33" t="s">
        <v>41</v>
      </c>
      <c r="C14" s="30">
        <f>COUNTIF(Kabupaten!$C:$C,B14)</f>
        <v>15</v>
      </c>
      <c r="D14" s="31">
        <f>SUMIF(Kabupaten!C:C,B14,Kabupaten!F:F)</f>
        <v>14009.155605948101</v>
      </c>
      <c r="E14" s="31">
        <f>SUMIF(Kabupaten!C:C,B14,Kabupaten!G:G)</f>
        <v>323274.80122773268</v>
      </c>
      <c r="F14" s="31">
        <f t="shared" si="0"/>
        <v>337283.9568336808</v>
      </c>
      <c r="G14" s="30">
        <f>COUNTIFS(Kabupaten!C:C,B14,Kabupaten!I:I,"DS")+COUNTIFS(Kabupaten!C:C,B14,Kabupaten!I:I,"D")</f>
        <v>15</v>
      </c>
      <c r="H14" s="32">
        <f>SUMIFS(Kabupaten!M:M,Kabupaten!C:C,B14,Kabupaten!I:I,"DS")+SUMIFS(Kabupaten!M:M,Kabupaten!C:C,B14,Kabupaten!I:I,"D")</f>
        <v>311654.79123061796</v>
      </c>
      <c r="I14" s="32">
        <f>SUMIFS(Kabupaten!J:J,Kabupaten!C:C,B14,Kabupaten!I:I,"DS")+SUMIFS(Kabupaten!J:J,Kabupaten!C:C,B14,Kabupaten!I:I,"D")</f>
        <v>357211.73499999999</v>
      </c>
    </row>
    <row r="15" spans="1:15" ht="19.5" customHeight="1">
      <c r="A15" s="28">
        <v>9</v>
      </c>
      <c r="B15" s="29" t="s">
        <v>42</v>
      </c>
      <c r="C15" s="30">
        <f>COUNTIF(Kabupaten!$C:$C,B15)</f>
        <v>7</v>
      </c>
      <c r="D15" s="31">
        <f>SUMIF(Kabupaten!C:C,B15,Kabupaten!F:F)</f>
        <v>2267.8664223564074</v>
      </c>
      <c r="E15" s="31">
        <f>SUMIF(Kabupaten!C:C,B15,Kabupaten!G:G)</f>
        <v>20293.516163748278</v>
      </c>
      <c r="F15" s="31">
        <f t="shared" si="0"/>
        <v>22561.382586104686</v>
      </c>
      <c r="G15" s="30">
        <f>COUNTIFS(Kabupaten!C:C,B15,Kabupaten!I:I,"DS")+COUNTIFS(Kabupaten!C:C,B15,Kabupaten!I:I,"D")</f>
        <v>6</v>
      </c>
      <c r="H15" s="32">
        <f>SUMIFS(Kabupaten!M:M,Kabupaten!C:C,B15,Kabupaten!I:I,"DS")+SUMIFS(Kabupaten!M:M,Kabupaten!C:C,B15,Kabupaten!I:I,"D")</f>
        <v>22116.990058836403</v>
      </c>
      <c r="I15" s="32">
        <f>SUMIFS(Kabupaten!J:J,Kabupaten!C:C,B15,Kabupaten!I:I,"DS")+SUMIFS(Kabupaten!J:J,Kabupaten!C:C,B15,Kabupaten!I:I,"D")</f>
        <v>45320.58</v>
      </c>
    </row>
    <row r="16" spans="1:15" ht="19.5" customHeight="1">
      <c r="A16" s="28">
        <v>10</v>
      </c>
      <c r="B16" s="29" t="s">
        <v>43</v>
      </c>
      <c r="C16" s="30">
        <f>COUNTIF(Kabupaten!$C:$C,B16)</f>
        <v>7</v>
      </c>
      <c r="D16" s="31">
        <f>SUMIF(Kabupaten!C:C,B16,Kabupaten!F:F)</f>
        <v>0</v>
      </c>
      <c r="E16" s="31">
        <f>SUMIF(Kabupaten!C:C,B16,Kabupaten!G:G)</f>
        <v>882.93800825897335</v>
      </c>
      <c r="F16" s="31">
        <f t="shared" si="0"/>
        <v>882.93800825897335</v>
      </c>
      <c r="G16" s="30">
        <f>COUNTIFS(Kabupaten!C:C,B16,Kabupaten!I:I,"DS")+COUNTIFS(Kabupaten!C:C,B16,Kabupaten!I:I,"D")</f>
        <v>5</v>
      </c>
      <c r="H16" s="32">
        <f>SUMIFS(Kabupaten!M:M,Kabupaten!C:C,B16,Kabupaten!I:I,"DS")+SUMIFS(Kabupaten!M:M,Kabupaten!C:C,B16,Kabupaten!I:I,"D")</f>
        <v>1124.8959774847831</v>
      </c>
      <c r="I16" s="32">
        <f>SUMIFS(Kabupaten!J:J,Kabupaten!C:C,B16,Kabupaten!I:I,"DS")+SUMIFS(Kabupaten!J:J,Kabupaten!C:C,B16,Kabupaten!I:I,"D")</f>
        <v>3688.33</v>
      </c>
    </row>
    <row r="17" spans="1:9" ht="19.5" customHeight="1">
      <c r="A17" s="28">
        <v>11</v>
      </c>
      <c r="B17" s="29" t="s">
        <v>44</v>
      </c>
      <c r="C17" s="30">
        <f>COUNTIF(Kabupaten!$C:$C,B17)</f>
        <v>8</v>
      </c>
      <c r="D17" s="31">
        <f>SUMIF(Kabupaten!C:C,B17,Kabupaten!F:F)</f>
        <v>12725.76741827401</v>
      </c>
      <c r="E17" s="31">
        <f>SUMIF(Kabupaten!C:C,B17,Kabupaten!G:G)</f>
        <v>185119.72376154055</v>
      </c>
      <c r="F17" s="31">
        <f t="shared" si="0"/>
        <v>197845.49117981456</v>
      </c>
      <c r="G17" s="30">
        <f>COUNTIFS(Kabupaten!C:C,B17,Kabupaten!I:I,"DS")+COUNTIFS(Kabupaten!C:C,B17,Kabupaten!I:I,"D")</f>
        <v>6</v>
      </c>
      <c r="H17" s="32">
        <f>SUMIFS(Kabupaten!M:M,Kabupaten!C:C,B17,Kabupaten!I:I,"DS")+SUMIFS(Kabupaten!M:M,Kabupaten!C:C,B17,Kabupaten!I:I,"D")</f>
        <v>116217.00710799999</v>
      </c>
      <c r="I17" s="32">
        <f>SUMIFS(Kabupaten!J:J,Kabupaten!C:C,B17,Kabupaten!I:I,"DS")+SUMIFS(Kabupaten!J:J,Kabupaten!C:C,B17,Kabupaten!I:I,"D")</f>
        <v>123448.35</v>
      </c>
    </row>
    <row r="18" spans="1:9" ht="19.5" customHeight="1">
      <c r="A18" s="28">
        <v>12</v>
      </c>
      <c r="B18" s="29" t="s">
        <v>45</v>
      </c>
      <c r="C18" s="30">
        <f>COUNTIF(Kabupaten!$C:$C,B18)</f>
        <v>6</v>
      </c>
      <c r="D18" s="31">
        <f>SUMIF(Kabupaten!C:C,B18,Kabupaten!F:F)</f>
        <v>13.535109148633401</v>
      </c>
      <c r="E18" s="31">
        <f>SUMIF(Kabupaten!C:C,B18,Kabupaten!G:G)</f>
        <v>346.11197323387103</v>
      </c>
      <c r="F18" s="31">
        <f t="shared" si="0"/>
        <v>359.64708238250444</v>
      </c>
      <c r="G18" s="30">
        <f>COUNTIFS(Kabupaten!C:C,B18,Kabupaten!I:I,"DS")+COUNTIFS(Kabupaten!C:C,B18,Kabupaten!I:I,"D")</f>
        <v>0</v>
      </c>
      <c r="H18" s="32">
        <f>SUMIFS(Kabupaten!M:M,Kabupaten!C:C,B18,Kabupaten!I:I,"DS")+SUMIFS(Kabupaten!M:M,Kabupaten!C:C,B18,Kabupaten!I:I,"D")</f>
        <v>0</v>
      </c>
      <c r="I18" s="32">
        <f>SUMIFS(Kabupaten!J:J,Kabupaten!C:C,B18,Kabupaten!I:I,"DS")+SUMIFS(Kabupaten!J:J,Kabupaten!C:C,B18,Kabupaten!I:I,"D")</f>
        <v>0</v>
      </c>
    </row>
    <row r="19" spans="1:9" ht="19.5" customHeight="1">
      <c r="A19" s="28">
        <v>13</v>
      </c>
      <c r="B19" s="29" t="s">
        <v>46</v>
      </c>
      <c r="C19" s="30">
        <f>COUNTIF(Kabupaten!$C:$C,B19)</f>
        <v>27</v>
      </c>
      <c r="D19" s="31">
        <f>SUMIF(Kabupaten!C:C,B19,Kabupaten!F:F)</f>
        <v>56109.106113556154</v>
      </c>
      <c r="E19" s="31">
        <f>SUMIF(Kabupaten!C:C,B19,Kabupaten!G:G)</f>
        <v>860689.21187343437</v>
      </c>
      <c r="F19" s="31">
        <f t="shared" si="0"/>
        <v>916798.31798699056</v>
      </c>
      <c r="G19" s="30">
        <f>COUNTIFS(Kabupaten!C:C,B19,Kabupaten!I:I,"DS")+COUNTIFS(Kabupaten!C:C,B19,Kabupaten!I:I,"D")</f>
        <v>25</v>
      </c>
      <c r="H19" s="32">
        <f>SUMIFS(Kabupaten!M:M,Kabupaten!C:C,B19,Kabupaten!I:I,"DS")+SUMIFS(Kabupaten!M:M,Kabupaten!C:C,B19,Kabupaten!I:I,"D")</f>
        <v>691912.03587990417</v>
      </c>
      <c r="I19" s="32">
        <f>SUMIFS(Kabupaten!J:J,Kabupaten!C:C,B19,Kabupaten!I:I,"DS")+SUMIFS(Kabupaten!J:J,Kabupaten!C:C,B19,Kabupaten!I:I,"D")</f>
        <v>759652.44</v>
      </c>
    </row>
    <row r="20" spans="1:9" ht="19.5" customHeight="1">
      <c r="A20" s="28">
        <v>14</v>
      </c>
      <c r="B20" s="29" t="s">
        <v>47</v>
      </c>
      <c r="C20" s="30">
        <f>COUNTIF(Kabupaten!$C:$C,B20)</f>
        <v>35</v>
      </c>
      <c r="D20" s="31">
        <f>SUMIF(Kabupaten!C:C,B20,Kabupaten!F:F)</f>
        <v>17712.933844646741</v>
      </c>
      <c r="E20" s="31">
        <f>SUMIF(Kabupaten!C:C,B20,Kabupaten!G:G)</f>
        <v>969754.81835922273</v>
      </c>
      <c r="F20" s="31">
        <f t="shared" si="0"/>
        <v>987467.75220386952</v>
      </c>
      <c r="G20" s="30">
        <f>COUNTIFS(Kabupaten!C:C,B20,Kabupaten!I:I,"DS")+COUNTIFS(Kabupaten!C:C,B20,Kabupaten!I:I,"D")</f>
        <v>34</v>
      </c>
      <c r="H20" s="32">
        <f>SUMIFS(Kabupaten!M:M,Kabupaten!C:C,B20,Kabupaten!I:I,"DS")+SUMIFS(Kabupaten!M:M,Kabupaten!C:C,B20,Kabupaten!I:I,"D")</f>
        <v>854602.61511938542</v>
      </c>
      <c r="I20" s="32">
        <f>SUMIFS(Kabupaten!J:J,Kabupaten!C:C,B20,Kabupaten!I:I,"DS")+SUMIFS(Kabupaten!J:J,Kabupaten!C:C,B20,Kabupaten!I:I,"D")</f>
        <v>1001761.4499999998</v>
      </c>
    </row>
    <row r="21" spans="1:9" ht="19.5" customHeight="1">
      <c r="A21" s="28">
        <v>15</v>
      </c>
      <c r="B21" s="29" t="s">
        <v>48</v>
      </c>
      <c r="C21" s="30">
        <f>COUNTIF(Kabupaten!$C:$C,B21)</f>
        <v>5</v>
      </c>
      <c r="D21" s="31">
        <f>SUMIF(Kabupaten!C:C,B21,Kabupaten!F:F)</f>
        <v>90.753263030035981</v>
      </c>
      <c r="E21" s="31">
        <f>SUMIF(Kabupaten!C:C,B21,Kabupaten!G:G)</f>
        <v>66935.761847876085</v>
      </c>
      <c r="F21" s="31">
        <f t="shared" si="0"/>
        <v>67026.515110906126</v>
      </c>
      <c r="G21" s="30">
        <f>COUNTIFS(Kabupaten!C:C,B21,Kabupaten!I:I,"DS")+COUNTIFS(Kabupaten!C:C,B21,Kabupaten!I:I,"D")</f>
        <v>4</v>
      </c>
      <c r="H21" s="32">
        <f>SUMIFS(Kabupaten!M:M,Kabupaten!C:C,B21,Kabupaten!I:I,"DS")+SUMIFS(Kabupaten!M:M,Kabupaten!C:C,B21,Kabupaten!I:I,"D")</f>
        <v>56999</v>
      </c>
      <c r="I21" s="32">
        <f>SUMIFS(Kabupaten!J:J,Kabupaten!C:C,B21,Kabupaten!I:I,"DS")+SUMIFS(Kabupaten!J:J,Kabupaten!C:C,B21,Kabupaten!I:I,"D")</f>
        <v>75837.14</v>
      </c>
    </row>
    <row r="22" spans="1:9" ht="19.5" customHeight="1">
      <c r="A22" s="28">
        <v>16</v>
      </c>
      <c r="B22" s="33" t="s">
        <v>49</v>
      </c>
      <c r="C22" s="30">
        <f>COUNTIF(Kabupaten!$C:$C,B22)</f>
        <v>38</v>
      </c>
      <c r="D22" s="31">
        <f>SUMIF(Kabupaten!C:C,B22,Kabupaten!F:F)</f>
        <v>18728.688156238422</v>
      </c>
      <c r="E22" s="31">
        <f>SUMIF(Kabupaten!C:C,B22,Kabupaten!G:G)</f>
        <v>1189248.6948731863</v>
      </c>
      <c r="F22" s="31">
        <f t="shared" si="0"/>
        <v>1207977.3830294248</v>
      </c>
      <c r="G22" s="30">
        <f>COUNTIFS(Kabupaten!C:C,B22,Kabupaten!I:I,"DS")+COUNTIFS(Kabupaten!C:C,B22,Kabupaten!I:I,"D")</f>
        <v>37</v>
      </c>
      <c r="H22" s="32">
        <f>SUMIFS(Kabupaten!M:M,Kabupaten!C:C,B22,Kabupaten!I:I,"DS")+SUMIFS(Kabupaten!M:M,Kabupaten!C:C,B22,Kabupaten!I:I,"D")</f>
        <v>799435.37562583329</v>
      </c>
      <c r="I22" s="32">
        <f>SUMIFS(Kabupaten!J:J,Kabupaten!C:C,B22,Kabupaten!I:I,"DS")+SUMIFS(Kabupaten!J:J,Kabupaten!C:C,B22,Kabupaten!I:I,"D")</f>
        <v>1033976.1493009955</v>
      </c>
    </row>
    <row r="23" spans="1:9" ht="19.5" customHeight="1">
      <c r="A23" s="28">
        <v>17</v>
      </c>
      <c r="B23" s="29" t="s">
        <v>50</v>
      </c>
      <c r="C23" s="30">
        <f>COUNTIF(Kabupaten!$C:$C,B23)</f>
        <v>9</v>
      </c>
      <c r="D23" s="31">
        <f>SUMIF(Kabupaten!C:C,B23,Kabupaten!F:F)</f>
        <v>26.500219310545134</v>
      </c>
      <c r="E23" s="31">
        <f>SUMIF(Kabupaten!C:C,B23,Kabupaten!G:G)</f>
        <v>64447.128696787673</v>
      </c>
      <c r="F23" s="31">
        <f t="shared" si="0"/>
        <v>64473.62891609822</v>
      </c>
      <c r="G23" s="30">
        <f>COUNTIFS(Kabupaten!C:C,B23,Kabupaten!I:I,"DS")+COUNTIFS(Kabupaten!C:C,B23,Kabupaten!I:I,"D")</f>
        <v>9</v>
      </c>
      <c r="H23" s="32">
        <f>SUMIFS(Kabupaten!M:M,Kabupaten!C:C,B23,Kabupaten!I:I,"DS")+SUMIFS(Kabupaten!M:M,Kabupaten!C:C,B23,Kabupaten!I:I,"D")</f>
        <v>52701.119143077609</v>
      </c>
      <c r="I23" s="32">
        <f>SUMIFS(Kabupaten!J:J,Kabupaten!C:C,B23,Kabupaten!I:I,"DS")+SUMIFS(Kabupaten!J:J,Kabupaten!C:C,B23,Kabupaten!I:I,"D")</f>
        <v>53449.53</v>
      </c>
    </row>
    <row r="24" spans="1:9" ht="19.5" customHeight="1">
      <c r="A24" s="28">
        <v>18</v>
      </c>
      <c r="B24" s="29" t="s">
        <v>51</v>
      </c>
      <c r="C24" s="30">
        <f>COUNTIF(Kabupaten!$C:$C,B24)</f>
        <v>10</v>
      </c>
      <c r="D24" s="31">
        <f>SUMIF(Kabupaten!C:C,B24,Kabupaten!F:F)</f>
        <v>2895.4616092766209</v>
      </c>
      <c r="E24" s="31">
        <f>SUMIF(Kabupaten!C:C,B24,Kabupaten!G:G)</f>
        <v>234445.65116342736</v>
      </c>
      <c r="F24" s="31">
        <f t="shared" si="0"/>
        <v>237341.11277270399</v>
      </c>
      <c r="G24" s="30">
        <f>COUNTIFS(Kabupaten!C:C,B24,Kabupaten!I:I,"DS")+COUNTIFS(Kabupaten!C:C,B24,Kabupaten!I:I,"D")</f>
        <v>9</v>
      </c>
      <c r="H24" s="32">
        <f>SUMIFS(Kabupaten!M:M,Kabupaten!C:C,B24,Kabupaten!I:I,"DS")+SUMIFS(Kabupaten!M:M,Kabupaten!C:C,B24,Kabupaten!I:I,"D")</f>
        <v>188791.15522985009</v>
      </c>
      <c r="I24" s="32">
        <f>SUMIFS(Kabupaten!J:J,Kabupaten!C:C,B24,Kabupaten!I:I,"DS")+SUMIFS(Kabupaten!J:J,Kabupaten!C:C,B24,Kabupaten!I:I,"D")</f>
        <v>272312.05</v>
      </c>
    </row>
    <row r="25" spans="1:9" ht="19.5" customHeight="1">
      <c r="A25" s="28">
        <v>19</v>
      </c>
      <c r="B25" s="29" t="s">
        <v>52</v>
      </c>
      <c r="C25" s="30">
        <f>COUNTIF(Kabupaten!$C:$C,B25)</f>
        <v>22</v>
      </c>
      <c r="D25" s="31">
        <f>SUMIF(Kabupaten!C:C,B25,Kabupaten!F:F)</f>
        <v>3445.1963106738731</v>
      </c>
      <c r="E25" s="31">
        <f>SUMIF(Kabupaten!C:C,B25,Kabupaten!G:G)</f>
        <v>173247.79164230966</v>
      </c>
      <c r="F25" s="31">
        <f t="shared" si="0"/>
        <v>176692.98795298353</v>
      </c>
      <c r="G25" s="30">
        <f>COUNTIFS(Kabupaten!C:C,B25,Kabupaten!I:I,"DS")+COUNTIFS(Kabupaten!C:C,B25,Kabupaten!I:I,"D")</f>
        <v>20</v>
      </c>
      <c r="H25" s="32">
        <f>SUMIFS(Kabupaten!M:M,Kabupaten!C:C,B25,Kabupaten!I:I,"DS")+SUMIFS(Kabupaten!M:M,Kabupaten!C:C,B25,Kabupaten!I:I,"D")</f>
        <v>139674.74458552277</v>
      </c>
      <c r="I25" s="32">
        <f>SUMIFS(Kabupaten!J:J,Kabupaten!C:C,B25,Kabupaten!I:I,"DS")+SUMIFS(Kabupaten!J:J,Kabupaten!C:C,B25,Kabupaten!I:I,"D")</f>
        <v>583810.08000000007</v>
      </c>
    </row>
    <row r="26" spans="1:9" ht="19.5" customHeight="1">
      <c r="A26" s="28">
        <v>20</v>
      </c>
      <c r="B26" s="29" t="s">
        <v>53</v>
      </c>
      <c r="C26" s="30">
        <f>COUNTIF(Kabupaten!$C:$C,B26)</f>
        <v>14</v>
      </c>
      <c r="D26" s="31">
        <f>SUMIF(Kabupaten!C:C,B26,Kabupaten!F:F)</f>
        <v>54367.05486706661</v>
      </c>
      <c r="E26" s="31">
        <f>SUMIF(Kabupaten!C:C,B26,Kabupaten!G:G)</f>
        <v>146132.01364586165</v>
      </c>
      <c r="F26" s="31">
        <f t="shared" si="0"/>
        <v>200499.06851292826</v>
      </c>
      <c r="G26" s="30">
        <f>COUNTIFS(Kabupaten!C:C,B26,Kabupaten!I:I,"DS")+COUNTIFS(Kabupaten!C:C,B26,Kabupaten!I:I,"D")</f>
        <v>10</v>
      </c>
      <c r="H26" s="32">
        <f>SUMIFS(Kabupaten!M:M,Kabupaten!C:C,B26,Kabupaten!I:I,"DS")+SUMIFS(Kabupaten!M:M,Kabupaten!C:C,B26,Kabupaten!I:I,"D")</f>
        <v>134016.41503325579</v>
      </c>
      <c r="I26" s="32">
        <f>SUMIFS(Kabupaten!J:J,Kabupaten!C:C,B26,Kabupaten!I:I,"DS")+SUMIFS(Kabupaten!J:J,Kabupaten!C:C,B26,Kabupaten!I:I,"D")</f>
        <v>258779.39</v>
      </c>
    </row>
    <row r="27" spans="1:9" ht="19.5" customHeight="1">
      <c r="A27" s="28">
        <v>21</v>
      </c>
      <c r="B27" s="29" t="s">
        <v>54</v>
      </c>
      <c r="C27" s="30">
        <f>COUNTIF(Kabupaten!$C:$C,B27)</f>
        <v>14</v>
      </c>
      <c r="D27" s="31">
        <f>SUMIF(Kabupaten!C:C,B27,Kabupaten!F:F)</f>
        <v>2742.829311040728</v>
      </c>
      <c r="E27" s="31">
        <f>SUMIF(Kabupaten!C:C,B27,Kabupaten!G:G)</f>
        <v>98220.319005239697</v>
      </c>
      <c r="F27" s="31">
        <f t="shared" si="0"/>
        <v>100963.14831628042</v>
      </c>
      <c r="G27" s="30">
        <f>COUNTIFS(Kabupaten!C:C,B27,Kabupaten!I:I,"DS")+COUNTIFS(Kabupaten!C:C,B27,Kabupaten!I:I,"D")</f>
        <v>13</v>
      </c>
      <c r="H27" s="32">
        <f>SUMIFS(Kabupaten!M:M,Kabupaten!C:C,B27,Kabupaten!I:I,"DS")+SUMIFS(Kabupaten!M:M,Kabupaten!C:C,B27,Kabupaten!I:I,"D")</f>
        <v>94183.321226210333</v>
      </c>
      <c r="I27" s="32">
        <f>SUMIFS(Kabupaten!J:J,Kabupaten!C:C,B27,Kabupaten!I:I,"DS")+SUMIFS(Kabupaten!J:J,Kabupaten!C:C,B27,Kabupaten!I:I,"D")</f>
        <v>453856.28</v>
      </c>
    </row>
    <row r="28" spans="1:9" ht="19.5" customHeight="1">
      <c r="A28" s="28">
        <v>22</v>
      </c>
      <c r="B28" s="29" t="s">
        <v>55</v>
      </c>
      <c r="C28" s="30">
        <f>COUNTIF(Kabupaten!$C:$C,B28)</f>
        <v>13</v>
      </c>
      <c r="D28" s="31">
        <f>SUMIF(Kabupaten!C:C,B28,Kabupaten!F:F)</f>
        <v>38669.469012925023</v>
      </c>
      <c r="E28" s="31">
        <f>SUMIF(Kabupaten!C:C,B28,Kabupaten!G:G)</f>
        <v>304703.04860989499</v>
      </c>
      <c r="F28" s="31">
        <f t="shared" si="0"/>
        <v>343372.51762281999</v>
      </c>
      <c r="G28" s="30">
        <f>COUNTIFS(Kabupaten!C:C,B28,Kabupaten!I:I,"DS")+COUNTIFS(Kabupaten!C:C,B28,Kabupaten!I:I,"D")</f>
        <v>13</v>
      </c>
      <c r="H28" s="32">
        <f>SUMIFS(Kabupaten!M:M,Kabupaten!C:C,B28,Kabupaten!I:I,"DS")+SUMIFS(Kabupaten!M:M,Kabupaten!C:C,B28,Kabupaten!I:I,"D")</f>
        <v>229453.32139995231</v>
      </c>
      <c r="I28" s="32">
        <f>SUMIFS(Kabupaten!J:J,Kabupaten!C:C,B28,Kabupaten!I:I,"DS")+SUMIFS(Kabupaten!J:J,Kabupaten!C:C,B28,Kabupaten!I:I,"D")</f>
        <v>345210.27999999997</v>
      </c>
    </row>
    <row r="29" spans="1:9" ht="19.5" customHeight="1">
      <c r="A29" s="28">
        <v>23</v>
      </c>
      <c r="B29" s="29" t="s">
        <v>56</v>
      </c>
      <c r="C29" s="30">
        <f>COUNTIF(Kabupaten!$C:$C,B29)</f>
        <v>10</v>
      </c>
      <c r="D29" s="31">
        <f>SUMIF(Kabupaten!C:C,B29,Kabupaten!F:F)</f>
        <v>9073.0907030269445</v>
      </c>
      <c r="E29" s="31">
        <f>SUMIF(Kabupaten!C:C,B29,Kabupaten!G:G)</f>
        <v>37566.942003746626</v>
      </c>
      <c r="F29" s="31">
        <f t="shared" si="0"/>
        <v>46640.032706773571</v>
      </c>
      <c r="G29" s="30">
        <f>COUNTIFS(Kabupaten!C:C,B29,Kabupaten!I:I,"DS")+COUNTIFS(Kabupaten!C:C,B29,Kabupaten!I:I,"D")</f>
        <v>9</v>
      </c>
      <c r="H29" s="32">
        <f>SUMIFS(Kabupaten!M:M,Kabupaten!C:C,B29,Kabupaten!I:I,"DS")+SUMIFS(Kabupaten!M:M,Kabupaten!C:C,B29,Kabupaten!I:I,"D")</f>
        <v>28819.129012362464</v>
      </c>
      <c r="I29" s="32">
        <f>SUMIFS(Kabupaten!J:J,Kabupaten!C:C,B29,Kabupaten!I:I,"DS")+SUMIFS(Kabupaten!J:J,Kabupaten!C:C,B29,Kabupaten!I:I,"D")</f>
        <v>229017.33</v>
      </c>
    </row>
    <row r="30" spans="1:9" ht="19.5" customHeight="1">
      <c r="A30" s="28">
        <v>24</v>
      </c>
      <c r="B30" s="29" t="s">
        <v>57</v>
      </c>
      <c r="C30" s="30">
        <f>COUNTIF(Kabupaten!$C:$C,B30)</f>
        <v>5</v>
      </c>
      <c r="D30" s="31">
        <f>SUMIF(Kabupaten!C:C,B30,Kabupaten!F:F)</f>
        <v>1391.7381593314856</v>
      </c>
      <c r="E30" s="31">
        <f>SUMIF(Kabupaten!C:C,B30,Kabupaten!G:G)</f>
        <v>10755.988567122242</v>
      </c>
      <c r="F30" s="31">
        <f t="shared" si="0"/>
        <v>12147.726726453728</v>
      </c>
      <c r="G30" s="30">
        <f>COUNTIFS(Kabupaten!C:C,B30,Kabupaten!I:I,"DS")+COUNTIFS(Kabupaten!C:C,B30,Kabupaten!I:I,"D")</f>
        <v>4</v>
      </c>
      <c r="H30" s="32">
        <f>SUMIFS(Kabupaten!M:M,Kabupaten!C:C,B30,Kabupaten!I:I,"DS")+SUMIFS(Kabupaten!M:M,Kabupaten!C:C,B30,Kabupaten!I:I,"D")</f>
        <v>7994.0998969898665</v>
      </c>
      <c r="I30" s="32">
        <f>SUMIFS(Kabupaten!J:J,Kabupaten!C:C,B30,Kabupaten!I:I,"DS")+SUMIFS(Kabupaten!J:J,Kabupaten!C:C,B30,Kabupaten!I:I,"D")</f>
        <v>27056</v>
      </c>
    </row>
    <row r="31" spans="1:9" ht="19.5" customHeight="1">
      <c r="A31" s="28">
        <v>25</v>
      </c>
      <c r="B31" s="29" t="s">
        <v>58</v>
      </c>
      <c r="C31" s="30">
        <f>COUNTIF(Kabupaten!$C:$C,B31)</f>
        <v>15</v>
      </c>
      <c r="D31" s="31">
        <f>SUMIF(Kabupaten!C:C,B31,Kabupaten!F:F)</f>
        <v>360.26082097072515</v>
      </c>
      <c r="E31" s="31">
        <f>SUMIF(Kabupaten!C:C,B31,Kabupaten!G:G)</f>
        <v>39407.442350554993</v>
      </c>
      <c r="F31" s="31">
        <f t="shared" si="0"/>
        <v>39767.703171525718</v>
      </c>
      <c r="G31" s="30">
        <f>COUNTIFS(Kabupaten!C:C,B31,Kabupaten!I:I,"DS")+COUNTIFS(Kabupaten!C:C,B31,Kabupaten!I:I,"D")</f>
        <v>8</v>
      </c>
      <c r="H31" s="32">
        <f>SUMIFS(Kabupaten!M:M,Kabupaten!C:C,B31,Kabupaten!I:I,"DS")+SUMIFS(Kabupaten!M:M,Kabupaten!C:C,B31,Kabupaten!I:I,"D")</f>
        <v>15917.771613972131</v>
      </c>
      <c r="I31" s="32">
        <f>SUMIFS(Kabupaten!J:J,Kabupaten!C:C,B31,Kabupaten!I:I,"DS")+SUMIFS(Kabupaten!J:J,Kabupaten!C:C,B31,Kabupaten!I:I,"D")</f>
        <v>38909.85</v>
      </c>
    </row>
    <row r="32" spans="1:9" ht="19.5" customHeight="1">
      <c r="A32" s="28">
        <v>26</v>
      </c>
      <c r="B32" s="29" t="s">
        <v>59</v>
      </c>
      <c r="C32" s="30">
        <f>COUNTIF(Kabupaten!$C:$C,B32)</f>
        <v>13</v>
      </c>
      <c r="D32" s="31">
        <f>SUMIF(Kabupaten!C:C,B32,Kabupaten!F:F)</f>
        <v>3390.0219252773836</v>
      </c>
      <c r="E32" s="31">
        <f>SUMIF(Kabupaten!C:C,B32,Kabupaten!G:G)</f>
        <v>123595.26494869312</v>
      </c>
      <c r="F32" s="31">
        <f t="shared" si="0"/>
        <v>126985.2868739705</v>
      </c>
      <c r="G32" s="30">
        <f>COUNTIFS(Kabupaten!C:C,B32,Kabupaten!I:I,"DS")+COUNTIFS(Kabupaten!C:C,B32,Kabupaten!I:I,"D")</f>
        <v>12</v>
      </c>
      <c r="H32" s="32">
        <f>SUMIFS(Kabupaten!M:M,Kabupaten!C:C,B32,Kabupaten!I:I,"DS")+SUMIFS(Kabupaten!M:M,Kabupaten!C:C,B32,Kabupaten!I:I,"D")</f>
        <v>107045.49366515974</v>
      </c>
      <c r="I32" s="32">
        <f>SUMIFS(Kabupaten!J:J,Kabupaten!C:C,B32,Kabupaten!I:I,"DS")+SUMIFS(Kabupaten!J:J,Kabupaten!C:C,B32,Kabupaten!I:I,"D")</f>
        <v>471063.68999999994</v>
      </c>
    </row>
    <row r="33" spans="1:28" ht="19.5" customHeight="1">
      <c r="A33" s="28">
        <v>27</v>
      </c>
      <c r="B33" s="29" t="s">
        <v>60</v>
      </c>
      <c r="C33" s="30">
        <f>COUNTIF(Kabupaten!$C:$C,B33)</f>
        <v>24</v>
      </c>
      <c r="D33" s="31">
        <f>SUMIF(Kabupaten!C:C,B33,Kabupaten!F:F)</f>
        <v>10606.434822209918</v>
      </c>
      <c r="E33" s="31">
        <f>SUMIF(Kabupaten!C:C,B33,Kabupaten!G:G)</f>
        <v>650031.67650959559</v>
      </c>
      <c r="F33" s="31">
        <f t="shared" si="0"/>
        <v>660638.11133180547</v>
      </c>
      <c r="G33" s="30">
        <f>COUNTIFS(Kabupaten!C:C,B33,Kabupaten!I:I,"DS")+COUNTIFS(Kabupaten!C:C,B33,Kabupaten!I:I,"D")</f>
        <v>23</v>
      </c>
      <c r="H33" s="32">
        <f>SUMIFS(Kabupaten!M:M,Kabupaten!C:C,B33,Kabupaten!I:I,"DS")+SUMIFS(Kabupaten!M:M,Kabupaten!C:C,B33,Kabupaten!I:I,"D")</f>
        <v>523869.33661466755</v>
      </c>
      <c r="I33" s="32">
        <f>SUMIFS(Kabupaten!J:J,Kabupaten!C:C,B33,Kabupaten!I:I,"DS")+SUMIFS(Kabupaten!J:J,Kabupaten!C:C,B33,Kabupaten!I:I,"D")</f>
        <v>608187.53257266036</v>
      </c>
    </row>
    <row r="34" spans="1:28" ht="19.5" customHeight="1">
      <c r="A34" s="28">
        <v>28</v>
      </c>
      <c r="B34" s="29" t="s">
        <v>61</v>
      </c>
      <c r="C34" s="30">
        <f>COUNTIF(Kabupaten!$C:$C,B34)</f>
        <v>17</v>
      </c>
      <c r="D34" s="31">
        <f>SUMIF(Kabupaten!C:C,B34,Kabupaten!F:F)</f>
        <v>15763.468423257609</v>
      </c>
      <c r="E34" s="31">
        <f>SUMIF(Kabupaten!C:C,B34,Kabupaten!G:G)</f>
        <v>73980.086444396991</v>
      </c>
      <c r="F34" s="31">
        <f t="shared" si="0"/>
        <v>89743.554867654602</v>
      </c>
      <c r="G34" s="30">
        <f>COUNTIFS(Kabupaten!C:C,B34,Kabupaten!I:I,"DS")+COUNTIFS(Kabupaten!C:C,B34,Kabupaten!I:I,"D")</f>
        <v>14</v>
      </c>
      <c r="H34" s="32">
        <f>SUMIFS(Kabupaten!M:M,Kabupaten!C:C,B34,Kabupaten!I:I,"DS")+SUMIFS(Kabupaten!M:M,Kabupaten!C:C,B34,Kabupaten!I:I,"D")</f>
        <v>62906.970694474832</v>
      </c>
      <c r="I34" s="34">
        <v>172402.56999999998</v>
      </c>
    </row>
    <row r="35" spans="1:28" ht="19.5" customHeight="1">
      <c r="A35" s="28">
        <v>29</v>
      </c>
      <c r="B35" s="29" t="s">
        <v>62</v>
      </c>
      <c r="C35" s="30">
        <f>COUNTIF(Kabupaten!$C:$C,B35)</f>
        <v>6</v>
      </c>
      <c r="D35" s="31">
        <f>SUMIF(Kabupaten!C:C,B35,Kabupaten!F:F)</f>
        <v>1414.0544333544124</v>
      </c>
      <c r="E35" s="31">
        <f>SUMIF(Kabupaten!C:C,B35,Kabupaten!G:G)</f>
        <v>30827.152672472243</v>
      </c>
      <c r="F35" s="31">
        <f t="shared" si="0"/>
        <v>32241.207105826656</v>
      </c>
      <c r="G35" s="30">
        <f>COUNTIFS(Kabupaten!C:C,B35,Kabupaten!I:I,"DS")+COUNTIFS(Kabupaten!C:C,B35,Kabupaten!I:I,"D")</f>
        <v>5</v>
      </c>
      <c r="H35" s="32">
        <f>SUMIFS(Kabupaten!M:M,Kabupaten!C:C,B35,Kabupaten!I:I,"DS")+SUMIFS(Kabupaten!M:M,Kabupaten!C:C,B35,Kabupaten!I:I,"D")</f>
        <v>15302</v>
      </c>
      <c r="I35" s="32">
        <f>SUMIFS(Kabupaten!J:J,Kabupaten!C:C,B35,Kabupaten!I:I,"DS")+SUMIFS(Kabupaten!J:J,Kabupaten!C:C,B35,Kabupaten!I:I,"D")</f>
        <v>25207.82</v>
      </c>
    </row>
    <row r="36" spans="1:28" ht="19.5" customHeight="1">
      <c r="A36" s="28">
        <v>30</v>
      </c>
      <c r="B36" s="29" t="s">
        <v>63</v>
      </c>
      <c r="C36" s="30">
        <f>COUNTIF(Kabupaten!$C:$C,B36)</f>
        <v>6</v>
      </c>
      <c r="D36" s="31">
        <f>SUMIF(Kabupaten!C:C,B36,Kabupaten!F:F)</f>
        <v>1139.6787263865908</v>
      </c>
      <c r="E36" s="31">
        <f>SUMIF(Kabupaten!C:C,B36,Kabupaten!G:G)</f>
        <v>41766.133840451541</v>
      </c>
      <c r="F36" s="31">
        <f t="shared" si="0"/>
        <v>42905.812566838133</v>
      </c>
      <c r="G36" s="30">
        <f>COUNTIFS(Kabupaten!C:C,B36,Kabupaten!I:I,"DS")+COUNTIFS(Kabupaten!C:C,B36,Kabupaten!I:I,"D")</f>
        <v>6</v>
      </c>
      <c r="H36" s="32">
        <f>SUMIFS(Kabupaten!M:M,Kabupaten!C:C,B36,Kabupaten!I:I,"DS")+SUMIFS(Kabupaten!M:M,Kabupaten!C:C,B36,Kabupaten!I:I,"D")</f>
        <v>33194.952484816029</v>
      </c>
      <c r="I36" s="32">
        <f>SUMIFS(Kabupaten!J:J,Kabupaten!C:C,B36,Kabupaten!I:I,"DS")+SUMIFS(Kabupaten!J:J,Kabupaten!C:C,B36,Kabupaten!I:I,"D")</f>
        <v>41769.61</v>
      </c>
    </row>
    <row r="37" spans="1:28" ht="19.5" customHeight="1">
      <c r="A37" s="28">
        <v>31</v>
      </c>
      <c r="B37" s="29" t="s">
        <v>64</v>
      </c>
      <c r="C37" s="30">
        <f>COUNTIF(Kabupaten!$C:$C,B37)</f>
        <v>11</v>
      </c>
      <c r="D37" s="31">
        <f>SUMIF(Kabupaten!C:C,B37,Kabupaten!F:F)</f>
        <v>0.45989024525599997</v>
      </c>
      <c r="E37" s="31">
        <f>SUMIF(Kabupaten!C:C,B37,Kabupaten!G:G)</f>
        <v>17959.667619524738</v>
      </c>
      <c r="F37" s="31">
        <f t="shared" si="0"/>
        <v>17960.127509769995</v>
      </c>
      <c r="G37" s="30">
        <f>COUNTIFS(Kabupaten!C:C,B37,Kabupaten!I:I,"DS")+COUNTIFS(Kabupaten!C:C,B37,Kabupaten!I:I,"D")</f>
        <v>4</v>
      </c>
      <c r="H37" s="32">
        <f>SUMIFS(Kabupaten!M:M,Kabupaten!C:C,B37,Kabupaten!I:I,"DS")+SUMIFS(Kabupaten!M:M,Kabupaten!C:C,B37,Kabupaten!I:I,"D")</f>
        <v>9513.6541045661143</v>
      </c>
      <c r="I37" s="32">
        <f>SUMIFS(Kabupaten!J:J,Kabupaten!C:C,B37,Kabupaten!I:I,"DS")+SUMIFS(Kabupaten!J:J,Kabupaten!C:C,B37,Kabupaten!I:I,"D")</f>
        <v>21469</v>
      </c>
    </row>
    <row r="38" spans="1:28" ht="19.5" customHeight="1">
      <c r="A38" s="28">
        <v>32</v>
      </c>
      <c r="B38" s="29" t="s">
        <v>65</v>
      </c>
      <c r="C38" s="30">
        <f>COUNTIF(Kabupaten!$C:$C,B38)</f>
        <v>10</v>
      </c>
      <c r="D38" s="31">
        <f>SUMIF(Kabupaten!C:C,B38,Kabupaten!F:F)</f>
        <v>44.570610293164712</v>
      </c>
      <c r="E38" s="31">
        <f>SUMIF(Kabupaten!C:C,B38,Kabupaten!G:G)</f>
        <v>7142.047703765641</v>
      </c>
      <c r="F38" s="31">
        <f t="shared" si="0"/>
        <v>7186.6183140588055</v>
      </c>
      <c r="G38" s="30">
        <f>COUNTIFS(Kabupaten!C:C,B38,Kabupaten!I:I,"DS")+COUNTIFS(Kabupaten!C:C,B38,Kabupaten!I:I,"D")</f>
        <v>6</v>
      </c>
      <c r="H38" s="32">
        <f>SUMIFS(Kabupaten!M:M,Kabupaten!C:C,B38,Kabupaten!I:I,"DS")+SUMIFS(Kabupaten!M:M,Kabupaten!C:C,B38,Kabupaten!I:I,"D")</f>
        <v>8843.0785833872906</v>
      </c>
      <c r="I38" s="32">
        <f>SUMIFS(Kabupaten!J:J,Kabupaten!C:C,B38,Kabupaten!I:I,"DS")+SUMIFS(Kabupaten!J:J,Kabupaten!C:C,B38,Kabupaten!I:I,"D")</f>
        <v>64941.214999999997</v>
      </c>
    </row>
    <row r="39" spans="1:28" ht="19.5" customHeight="1">
      <c r="A39" s="28">
        <v>33</v>
      </c>
      <c r="B39" s="29" t="s">
        <v>66</v>
      </c>
      <c r="C39" s="30">
        <f>COUNTIF(Kabupaten!$C:$C,B39)</f>
        <v>7</v>
      </c>
      <c r="D39" s="31">
        <f>SUMIF(Kabupaten!C:C,B39,Kabupaten!F:F)</f>
        <v>11.521099872378764</v>
      </c>
      <c r="E39" s="31">
        <f>SUMIF(Kabupaten!C:C,B39,Kabupaten!G:G)</f>
        <v>2592.3433332419731</v>
      </c>
      <c r="F39" s="31">
        <f t="shared" si="0"/>
        <v>2603.8644331143519</v>
      </c>
      <c r="G39" s="30">
        <f>COUNTIFS(Kabupaten!C:C,B39,Kabupaten!I:I,"DS")+COUNTIFS(Kabupaten!C:C,B39,Kabupaten!I:I,"D")</f>
        <v>4</v>
      </c>
      <c r="H39" s="32">
        <f>SUMIFS(Kabupaten!M:M,Kabupaten!C:C,B39,Kabupaten!I:I,"DS")+SUMIFS(Kabupaten!M:M,Kabupaten!C:C,B39,Kabupaten!I:I,"D")</f>
        <v>4292.2423273691147</v>
      </c>
      <c r="I39" s="32">
        <f>SUMIFS(Kabupaten!J:J,Kabupaten!C:C,B39,Kabupaten!I:I,"DS")+SUMIFS(Kabupaten!J:J,Kabupaten!C:C,B39,Kabupaten!I:I,"D")</f>
        <v>64046</v>
      </c>
    </row>
    <row r="40" spans="1:28" ht="19.5" customHeight="1">
      <c r="A40" s="28">
        <v>34</v>
      </c>
      <c r="B40" s="29" t="s">
        <v>67</v>
      </c>
      <c r="C40" s="30">
        <f>COUNTIF(Kabupaten!$C:$C,B40)</f>
        <v>6</v>
      </c>
      <c r="D40" s="31">
        <f>SUMIF(Kabupaten!C:C,B40,Kabupaten!F:F)</f>
        <v>99.162874703644633</v>
      </c>
      <c r="E40" s="31">
        <f>SUMIF(Kabupaten!C:C,B40,Kabupaten!G:G)</f>
        <v>372.93847135078835</v>
      </c>
      <c r="F40" s="31">
        <f t="shared" si="0"/>
        <v>472.10134605443295</v>
      </c>
      <c r="G40" s="30">
        <f>COUNTIFS(Kabupaten!C:C,B40,Kabupaten!I:I,"DS")+COUNTIFS(Kabupaten!C:C,B40,Kabupaten!I:I,"D")</f>
        <v>1</v>
      </c>
      <c r="H40" s="32">
        <f>SUMIFS(Kabupaten!M:M,Kabupaten!C:C,B40,Kabupaten!I:I,"DS")+SUMIFS(Kabupaten!M:M,Kabupaten!C:C,B40,Kabupaten!I:I,"D")</f>
        <v>2985.7051496828321</v>
      </c>
      <c r="I40" s="32">
        <f>SUMIFS(Kabupaten!J:J,Kabupaten!C:C,B40,Kabupaten!I:I,"DS")+SUMIFS(Kabupaten!J:J,Kabupaten!C:C,B40,Kabupaten!I:I,"D")</f>
        <v>6476</v>
      </c>
    </row>
    <row r="41" spans="1:28" ht="19.5" customHeight="1">
      <c r="A41" s="28">
        <v>35</v>
      </c>
      <c r="B41" s="29" t="s">
        <v>68</v>
      </c>
      <c r="C41" s="30">
        <f>COUNTIF(Kabupaten!$C:$C,B41)</f>
        <v>8</v>
      </c>
      <c r="D41" s="31">
        <f>SUMIF(Kabupaten!C:C,B41,Kabupaten!F:F)</f>
        <v>49.886777684269902</v>
      </c>
      <c r="E41" s="31">
        <f>SUMIF(Kabupaten!C:C,B41,Kabupaten!G:G)</f>
        <v>899.51515064208695</v>
      </c>
      <c r="F41" s="31">
        <f t="shared" si="0"/>
        <v>949.40192832635682</v>
      </c>
      <c r="G41" s="30">
        <f>COUNTIFS(Kabupaten!C:C,B41,Kabupaten!I:I,"DS")+COUNTIFS(Kabupaten!C:C,B41,Kabupaten!I:I,"D")</f>
        <v>1</v>
      </c>
      <c r="H41" s="32">
        <f>SUMIFS(Kabupaten!M:M,Kabupaten!C:C,B41,Kabupaten!I:I,"DS")+SUMIFS(Kabupaten!M:M,Kabupaten!C:C,B41,Kabupaten!I:I,"D")</f>
        <v>0</v>
      </c>
      <c r="I41" s="32">
        <f>SUMIFS(Kabupaten!J:J,Kabupaten!C:C,B41,Kabupaten!I:I,"DS")+SUMIFS(Kabupaten!J:J,Kabupaten!C:C,B41,Kabupaten!I:I,"D")</f>
        <v>125</v>
      </c>
    </row>
    <row r="42" spans="1:28" ht="19.5" customHeight="1">
      <c r="A42" s="28">
        <v>36</v>
      </c>
      <c r="B42" s="29" t="s">
        <v>69</v>
      </c>
      <c r="C42" s="30">
        <f>COUNTIF(Kabupaten!$C:$C,B42)</f>
        <v>4</v>
      </c>
      <c r="D42" s="31">
        <f>SUMIF(Kabupaten!C:C,B42,Kabupaten!F:F)</f>
        <v>3345.8749246398529</v>
      </c>
      <c r="E42" s="31">
        <f>SUMIF(Kabupaten!C:C,B42,Kabupaten!G:G)</f>
        <v>39691.510076598483</v>
      </c>
      <c r="F42" s="31">
        <f t="shared" si="0"/>
        <v>43037.385001238334</v>
      </c>
      <c r="G42" s="30">
        <f>COUNTIFS(Kabupaten!C:C,B42,Kabupaten!I:I,"DS")+COUNTIFS(Kabupaten!C:C,B42,Kabupaten!I:I,"D")</f>
        <v>1</v>
      </c>
      <c r="H42" s="32">
        <f>SUMIFS(Kabupaten!M:M,Kabupaten!C:C,B42,Kabupaten!I:I,"DS")+SUMIFS(Kabupaten!M:M,Kabupaten!C:C,B42,Kabupaten!I:I,"D")</f>
        <v>20325.620046353099</v>
      </c>
      <c r="I42" s="32">
        <f>SUMIFS(Kabupaten!J:J,Kabupaten!C:C,B42,Kabupaten!I:I,"DS")+SUMIFS(Kabupaten!J:J,Kabupaten!C:C,B42,Kabupaten!I:I,"D")</f>
        <v>30432.39</v>
      </c>
    </row>
    <row r="43" spans="1:28" ht="19.5" customHeight="1">
      <c r="A43" s="28">
        <v>37</v>
      </c>
      <c r="B43" s="29" t="s">
        <v>70</v>
      </c>
      <c r="C43" s="30">
        <f>COUNTIF(Kabupaten!$C:$C,B43)</f>
        <v>8</v>
      </c>
      <c r="D43" s="31">
        <f>SUMIF(Kabupaten!C:C,B43,Kabupaten!F:F)</f>
        <v>0</v>
      </c>
      <c r="E43" s="31">
        <f>SUMIF(Kabupaten!C:C,B43,Kabupaten!G:G)</f>
        <v>2370.1859501839344</v>
      </c>
      <c r="F43" s="31">
        <f t="shared" si="0"/>
        <v>2370.1859501839344</v>
      </c>
      <c r="G43" s="30">
        <f>COUNTIFS(Kabupaten!C:C,B43,Kabupaten!I:I,"DS")+COUNTIFS(Kabupaten!C:C,B43,Kabupaten!I:I,"D")</f>
        <v>2</v>
      </c>
      <c r="H43" s="32">
        <f>SUMIFS(Kabupaten!M:M,Kabupaten!C:C,B43,Kabupaten!I:I,"DS")+SUMIFS(Kabupaten!M:M,Kabupaten!C:C,B43,Kabupaten!I:I,"D")</f>
        <v>2404.8065652161958</v>
      </c>
      <c r="I43" s="32">
        <f>SUMIFS(Kabupaten!J:J,Kabupaten!C:C,B43,Kabupaten!I:I,"DS")+SUMIFS(Kabupaten!J:J,Kabupaten!C:C,B43,Kabupaten!I:I,"D")</f>
        <v>58342</v>
      </c>
    </row>
    <row r="44" spans="1:28" ht="19.5" customHeight="1">
      <c r="A44" s="487">
        <v>38</v>
      </c>
      <c r="B44" s="35" t="s">
        <v>71</v>
      </c>
      <c r="C44" s="36">
        <f>COUNTIF(Kabupaten!$C:$C,B44)</f>
        <v>9</v>
      </c>
      <c r="D44" s="37">
        <f>SUMIF(Kabupaten!C:C,B44,Kabupaten!F:F)</f>
        <v>0</v>
      </c>
      <c r="E44" s="37">
        <f>SUMIF(Kabupaten!C:C,B44,Kabupaten!G:G)</f>
        <v>1806.7711076282203</v>
      </c>
      <c r="F44" s="37">
        <f t="shared" si="0"/>
        <v>1806.7711076282203</v>
      </c>
      <c r="G44" s="36">
        <f>COUNTIFS(Kabupaten!C:C,B44,Kabupaten!I:I,"DS")+COUNTIFS(Kabupaten!C:C,B44,Kabupaten!I:I,"D")</f>
        <v>1</v>
      </c>
      <c r="H44" s="38">
        <f>SUMIFS(Kabupaten!M:M,Kabupaten!C:C,B44,Kabupaten!I:I,"DS")+SUMIFS(Kabupaten!M:M,Kabupaten!C:C,B44,Kabupaten!I:I,"D")</f>
        <v>21.27320218805</v>
      </c>
      <c r="I44" s="38">
        <f>SUMIFS(Kabupaten!J:J,Kabupaten!C:C,B44,Kabupaten!I:I,"DS")+SUMIFS(Kabupaten!J:J,Kabupaten!C:C,B44,Kabupaten!I:I,"D")</f>
        <v>117849</v>
      </c>
    </row>
    <row r="45" spans="1:28" ht="19.5" customHeight="1">
      <c r="A45" s="39"/>
      <c r="B45" s="39"/>
      <c r="C45" s="40">
        <f t="shared" ref="C45:I45" si="1">SUM(C7:C44)</f>
        <v>514</v>
      </c>
      <c r="D45" s="41">
        <f t="shared" si="1"/>
        <v>324411.11943427625</v>
      </c>
      <c r="E45" s="41">
        <f t="shared" si="1"/>
        <v>7059929.1550024124</v>
      </c>
      <c r="F45" s="41">
        <f t="shared" si="1"/>
        <v>7384340.2744366899</v>
      </c>
      <c r="G45" s="40">
        <f t="shared" si="1"/>
        <v>404</v>
      </c>
      <c r="H45" s="42">
        <f t="shared" si="1"/>
        <v>5537157.5165623231</v>
      </c>
      <c r="I45" s="42">
        <f t="shared" si="1"/>
        <v>8743650.7578736581</v>
      </c>
    </row>
    <row r="46" spans="1:28" ht="15.75" customHeight="1">
      <c r="A46" s="567" t="s">
        <v>72</v>
      </c>
      <c r="B46" s="564"/>
      <c r="C46" s="564"/>
      <c r="D46" s="564"/>
      <c r="E46" s="564"/>
      <c r="F46" s="559"/>
      <c r="G46" s="568">
        <f>H45/F45</f>
        <v>0.7498513490407539</v>
      </c>
      <c r="H46" s="564"/>
      <c r="I46" s="559"/>
      <c r="J46" s="18"/>
      <c r="K46" s="18"/>
      <c r="L46" s="18"/>
      <c r="M46" s="18"/>
      <c r="N46" s="18"/>
      <c r="O46" s="18"/>
    </row>
    <row r="47" spans="1:28" ht="15.75" customHeight="1">
      <c r="A47" s="18"/>
      <c r="B47" s="18"/>
      <c r="C47" s="18"/>
      <c r="D47" s="43"/>
      <c r="E47" s="43"/>
      <c r="F47" s="43"/>
      <c r="G47" s="18"/>
      <c r="H47" s="18"/>
      <c r="I47" s="44"/>
      <c r="J47" s="18"/>
      <c r="K47" s="44"/>
      <c r="L47" s="18"/>
      <c r="M47" s="18"/>
      <c r="N47" s="18"/>
      <c r="O47" s="18"/>
    </row>
    <row r="48" spans="1:28" ht="15.75" customHeight="1">
      <c r="A48" s="18" t="s">
        <v>73</v>
      </c>
      <c r="B48" s="18"/>
      <c r="C48" s="18"/>
      <c r="D48" s="43"/>
      <c r="E48" s="45"/>
      <c r="F48" s="43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46"/>
      <c r="U48" s="46"/>
      <c r="V48" s="46"/>
      <c r="W48" s="46"/>
      <c r="X48" s="47"/>
      <c r="Y48" s="47"/>
      <c r="Z48" s="47"/>
      <c r="AA48" s="47"/>
      <c r="AB48" s="47"/>
    </row>
    <row r="49" spans="1:28" ht="15.75" customHeight="1">
      <c r="A49" s="18"/>
      <c r="B49" s="18"/>
      <c r="C49" s="18"/>
      <c r="D49" s="43"/>
      <c r="E49" s="43"/>
      <c r="F49" s="43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46"/>
      <c r="U49" s="46"/>
      <c r="V49" s="46"/>
      <c r="W49" s="46"/>
      <c r="X49" s="47"/>
      <c r="Y49" s="47"/>
      <c r="Z49" s="47"/>
      <c r="AA49" s="47"/>
      <c r="AB49" s="47"/>
    </row>
    <row r="50" spans="1:28" ht="15.75" customHeight="1">
      <c r="A50" s="18"/>
      <c r="B50" s="18"/>
      <c r="C50" s="18"/>
      <c r="D50" s="43"/>
      <c r="E50" s="43"/>
      <c r="F50" s="43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46"/>
      <c r="U50" s="46"/>
      <c r="V50" s="46"/>
      <c r="W50" s="46"/>
      <c r="X50" s="47"/>
      <c r="Y50" s="47"/>
      <c r="Z50" s="47"/>
      <c r="AA50" s="47"/>
      <c r="AB50" s="47"/>
    </row>
    <row r="51" spans="1:28" ht="15.75" customHeight="1">
      <c r="A51" s="18"/>
      <c r="B51" s="18"/>
      <c r="C51" s="18"/>
      <c r="D51" s="43"/>
      <c r="E51" s="43"/>
      <c r="F51" s="43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46"/>
      <c r="U51" s="46"/>
      <c r="V51" s="46"/>
      <c r="W51" s="46"/>
      <c r="X51" s="47"/>
      <c r="Y51" s="47"/>
      <c r="Z51" s="47"/>
      <c r="AA51" s="47"/>
      <c r="AB51" s="47"/>
    </row>
    <row r="52" spans="1:28" ht="15.75" customHeight="1">
      <c r="A52" s="18"/>
      <c r="B52" s="18"/>
      <c r="C52" s="18"/>
      <c r="D52" s="43"/>
      <c r="E52" s="43"/>
      <c r="F52" s="43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46"/>
      <c r="U52" s="46"/>
      <c r="V52" s="46"/>
      <c r="W52" s="46"/>
      <c r="X52" s="47"/>
      <c r="Y52" s="47"/>
      <c r="Z52" s="47"/>
      <c r="AA52" s="47"/>
      <c r="AB52" s="47"/>
    </row>
    <row r="53" spans="1:28" ht="15.75" customHeight="1">
      <c r="A53" s="18"/>
      <c r="B53" s="18"/>
      <c r="C53" s="18"/>
      <c r="D53" s="43"/>
      <c r="E53" s="43"/>
      <c r="F53" s="43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46"/>
      <c r="U53" s="46"/>
      <c r="V53" s="46"/>
      <c r="W53" s="46"/>
      <c r="X53" s="47"/>
      <c r="Y53" s="47"/>
      <c r="Z53" s="47"/>
      <c r="AA53" s="47"/>
      <c r="AB53" s="47"/>
    </row>
    <row r="54" spans="1:28" ht="15.75" customHeight="1">
      <c r="A54" s="18"/>
      <c r="B54" s="18"/>
      <c r="C54" s="18"/>
      <c r="D54" s="43"/>
      <c r="E54" s="43"/>
      <c r="F54" s="43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46"/>
      <c r="U54" s="46"/>
      <c r="V54" s="46"/>
      <c r="W54" s="46"/>
      <c r="X54" s="47"/>
      <c r="Y54" s="47"/>
      <c r="Z54" s="47"/>
      <c r="AA54" s="47"/>
      <c r="AB54" s="47"/>
    </row>
    <row r="55" spans="1:28" ht="15.75" customHeight="1">
      <c r="A55" s="18"/>
      <c r="B55" s="18"/>
      <c r="C55" s="18"/>
      <c r="D55" s="43"/>
      <c r="E55" s="43"/>
      <c r="F55" s="43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46"/>
      <c r="U55" s="46"/>
      <c r="V55" s="46"/>
      <c r="W55" s="46"/>
      <c r="X55" s="47"/>
      <c r="Y55" s="47"/>
      <c r="Z55" s="47"/>
      <c r="AA55" s="47"/>
      <c r="AB55" s="47"/>
    </row>
    <row r="56" spans="1:28" ht="15.75" customHeight="1">
      <c r="A56" s="18"/>
      <c r="B56" s="18"/>
      <c r="C56" s="18"/>
      <c r="D56" s="43"/>
      <c r="E56" s="43"/>
      <c r="F56" s="43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46"/>
      <c r="U56" s="46"/>
      <c r="V56" s="46"/>
      <c r="W56" s="46"/>
      <c r="X56" s="47"/>
      <c r="Y56" s="47"/>
      <c r="Z56" s="47"/>
      <c r="AA56" s="47"/>
      <c r="AB56" s="47"/>
    </row>
    <row r="57" spans="1:28" ht="15.75" customHeight="1">
      <c r="A57" s="18"/>
      <c r="B57" s="18"/>
      <c r="C57" s="18"/>
      <c r="D57" s="43"/>
      <c r="E57" s="43"/>
      <c r="F57" s="43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46"/>
      <c r="U57" s="46"/>
      <c r="V57" s="46"/>
      <c r="W57" s="46"/>
      <c r="X57" s="47"/>
      <c r="Y57" s="47"/>
      <c r="Z57" s="47"/>
      <c r="AA57" s="47"/>
      <c r="AB57" s="47"/>
    </row>
    <row r="58" spans="1:28" ht="15.75" customHeight="1">
      <c r="A58" s="18"/>
      <c r="B58" s="18"/>
      <c r="C58" s="18"/>
      <c r="D58" s="43"/>
      <c r="E58" s="43"/>
      <c r="F58" s="43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46"/>
      <c r="U58" s="46"/>
      <c r="V58" s="46"/>
      <c r="W58" s="46"/>
      <c r="X58" s="47"/>
      <c r="Y58" s="47"/>
      <c r="Z58" s="47"/>
      <c r="AA58" s="47"/>
      <c r="AB58" s="47"/>
    </row>
    <row r="59" spans="1:28" ht="15.75" customHeight="1">
      <c r="A59" s="18"/>
      <c r="B59" s="18"/>
      <c r="C59" s="18"/>
      <c r="D59" s="43"/>
      <c r="E59" s="43"/>
      <c r="F59" s="43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46"/>
      <c r="U59" s="46"/>
      <c r="V59" s="46"/>
      <c r="W59" s="46"/>
      <c r="X59" s="47"/>
      <c r="Y59" s="47"/>
      <c r="Z59" s="47"/>
      <c r="AA59" s="47"/>
      <c r="AB59" s="47"/>
    </row>
    <row r="60" spans="1:28" ht="15.75" customHeight="1">
      <c r="A60" s="18"/>
      <c r="B60" s="18"/>
      <c r="C60" s="18"/>
      <c r="D60" s="43"/>
      <c r="E60" s="43"/>
      <c r="F60" s="43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46"/>
      <c r="U60" s="46"/>
      <c r="V60" s="46"/>
      <c r="W60" s="46"/>
      <c r="X60" s="47"/>
      <c r="Y60" s="47"/>
      <c r="Z60" s="47"/>
      <c r="AA60" s="47"/>
      <c r="AB60" s="47"/>
    </row>
    <row r="61" spans="1:28" ht="15.75" customHeight="1">
      <c r="A61" s="18"/>
      <c r="B61" s="18"/>
      <c r="C61" s="18"/>
      <c r="D61" s="43"/>
      <c r="E61" s="43"/>
      <c r="F61" s="43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46"/>
      <c r="U61" s="46"/>
      <c r="V61" s="46"/>
      <c r="W61" s="46"/>
      <c r="X61" s="47"/>
      <c r="Y61" s="47"/>
      <c r="Z61" s="47"/>
      <c r="AA61" s="47"/>
      <c r="AB61" s="47"/>
    </row>
    <row r="62" spans="1:28" ht="15.75" customHeight="1">
      <c r="A62" s="18"/>
      <c r="B62" s="18"/>
      <c r="C62" s="18"/>
      <c r="D62" s="43"/>
      <c r="E62" s="43"/>
      <c r="F62" s="43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46"/>
      <c r="U62" s="46"/>
      <c r="V62" s="46"/>
      <c r="W62" s="46"/>
      <c r="X62" s="47"/>
      <c r="Y62" s="47"/>
      <c r="Z62" s="47"/>
      <c r="AA62" s="47"/>
      <c r="AB62" s="47"/>
    </row>
    <row r="63" spans="1:28" ht="15.75" customHeight="1">
      <c r="A63" s="18"/>
      <c r="B63" s="18"/>
      <c r="C63" s="18"/>
      <c r="D63" s="43"/>
      <c r="E63" s="43"/>
      <c r="F63" s="43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46"/>
      <c r="U63" s="46"/>
      <c r="V63" s="46"/>
      <c r="W63" s="46"/>
      <c r="X63" s="47"/>
      <c r="Y63" s="47"/>
      <c r="Z63" s="47"/>
      <c r="AA63" s="47"/>
      <c r="AB63" s="47"/>
    </row>
    <row r="64" spans="1:28" ht="15.75" customHeight="1">
      <c r="A64" s="18"/>
      <c r="B64" s="18"/>
      <c r="C64" s="18"/>
      <c r="D64" s="43"/>
      <c r="E64" s="43"/>
      <c r="F64" s="43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46"/>
      <c r="U64" s="46"/>
      <c r="V64" s="46"/>
      <c r="W64" s="46"/>
      <c r="X64" s="47"/>
      <c r="Y64" s="47"/>
      <c r="Z64" s="47"/>
      <c r="AA64" s="47"/>
      <c r="AB64" s="47"/>
    </row>
    <row r="65" spans="1:28" ht="15.75" customHeight="1">
      <c r="A65" s="18"/>
      <c r="B65" s="18"/>
      <c r="C65" s="18"/>
      <c r="D65" s="43"/>
      <c r="E65" s="43"/>
      <c r="F65" s="43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46"/>
      <c r="U65" s="46"/>
      <c r="V65" s="46"/>
      <c r="W65" s="46"/>
      <c r="X65" s="47"/>
      <c r="Y65" s="47"/>
      <c r="Z65" s="47"/>
      <c r="AA65" s="47"/>
      <c r="AB65" s="47"/>
    </row>
    <row r="66" spans="1:28" ht="15.75" customHeight="1">
      <c r="A66" s="18"/>
      <c r="B66" s="18"/>
      <c r="C66" s="18"/>
      <c r="D66" s="43"/>
      <c r="E66" s="43"/>
      <c r="F66" s="43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46"/>
      <c r="U66" s="46"/>
      <c r="V66" s="46"/>
      <c r="W66" s="46"/>
      <c r="X66" s="47"/>
      <c r="Y66" s="47"/>
      <c r="Z66" s="47"/>
      <c r="AA66" s="47"/>
      <c r="AB66" s="47"/>
    </row>
    <row r="67" spans="1:28" ht="15.75" customHeight="1">
      <c r="A67" s="18"/>
      <c r="B67" s="18"/>
      <c r="C67" s="18"/>
      <c r="D67" s="43"/>
      <c r="E67" s="43"/>
      <c r="F67" s="43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46"/>
      <c r="U67" s="46"/>
      <c r="V67" s="46"/>
      <c r="W67" s="46"/>
      <c r="X67" s="47"/>
      <c r="Y67" s="47"/>
      <c r="Z67" s="47"/>
      <c r="AA67" s="47"/>
      <c r="AB67" s="47"/>
    </row>
    <row r="68" spans="1:28" ht="15.75" customHeight="1">
      <c r="A68" s="18"/>
      <c r="B68" s="18"/>
      <c r="C68" s="18"/>
      <c r="D68" s="43"/>
      <c r="E68" s="43"/>
      <c r="F68" s="43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46"/>
      <c r="U68" s="46"/>
      <c r="V68" s="46"/>
      <c r="W68" s="46"/>
      <c r="X68" s="47"/>
      <c r="Y68" s="47"/>
      <c r="Z68" s="47"/>
      <c r="AA68" s="47"/>
      <c r="AB68" s="47"/>
    </row>
    <row r="69" spans="1:28" ht="15.75" customHeight="1">
      <c r="A69" s="18"/>
      <c r="B69" s="18"/>
      <c r="C69" s="18"/>
      <c r="D69" s="43"/>
      <c r="E69" s="43"/>
      <c r="F69" s="43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46"/>
      <c r="U69" s="46"/>
      <c r="V69" s="46"/>
      <c r="W69" s="46"/>
      <c r="X69" s="47"/>
      <c r="Y69" s="47"/>
      <c r="Z69" s="47"/>
      <c r="AA69" s="47"/>
      <c r="AB69" s="47"/>
    </row>
    <row r="70" spans="1:28" ht="15.75" customHeight="1">
      <c r="A70" s="18"/>
      <c r="B70" s="18"/>
      <c r="C70" s="18"/>
      <c r="D70" s="43"/>
      <c r="E70" s="43"/>
      <c r="F70" s="43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46"/>
      <c r="U70" s="46"/>
      <c r="V70" s="46"/>
      <c r="W70" s="46"/>
      <c r="X70" s="47"/>
      <c r="Y70" s="47"/>
      <c r="Z70" s="47"/>
      <c r="AA70" s="47"/>
      <c r="AB70" s="47"/>
    </row>
    <row r="71" spans="1:28" ht="15.75" customHeight="1">
      <c r="A71" s="18"/>
      <c r="B71" s="18"/>
      <c r="C71" s="18"/>
      <c r="D71" s="43"/>
      <c r="E71" s="43"/>
      <c r="F71" s="43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46"/>
      <c r="U71" s="46"/>
      <c r="V71" s="46"/>
      <c r="W71" s="46"/>
      <c r="X71" s="47"/>
      <c r="Y71" s="47"/>
      <c r="Z71" s="47"/>
      <c r="AA71" s="47"/>
      <c r="AB71" s="47"/>
    </row>
    <row r="72" spans="1:28" ht="15.75" customHeight="1">
      <c r="A72" s="18"/>
      <c r="B72" s="18"/>
      <c r="C72" s="18"/>
      <c r="D72" s="43"/>
      <c r="E72" s="43"/>
      <c r="F72" s="43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46"/>
      <c r="U72" s="46"/>
      <c r="V72" s="46"/>
      <c r="W72" s="46"/>
      <c r="X72" s="47"/>
      <c r="Y72" s="47"/>
      <c r="Z72" s="47"/>
      <c r="AA72" s="47"/>
      <c r="AB72" s="47"/>
    </row>
    <row r="73" spans="1:28" ht="15.75" customHeight="1">
      <c r="A73" s="18"/>
      <c r="B73" s="18"/>
      <c r="C73" s="18"/>
      <c r="D73" s="43"/>
      <c r="E73" s="43"/>
      <c r="F73" s="43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46"/>
      <c r="U73" s="46"/>
      <c r="V73" s="46"/>
      <c r="W73" s="46"/>
      <c r="X73" s="47"/>
      <c r="Y73" s="47"/>
      <c r="Z73" s="47"/>
      <c r="AA73" s="47"/>
      <c r="AB73" s="47"/>
    </row>
    <row r="74" spans="1:28" ht="15.75" customHeight="1">
      <c r="A74" s="18"/>
      <c r="B74" s="18"/>
      <c r="C74" s="18"/>
      <c r="D74" s="43"/>
      <c r="E74" s="43"/>
      <c r="F74" s="43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46"/>
      <c r="U74" s="46"/>
      <c r="V74" s="46"/>
      <c r="W74" s="46"/>
      <c r="X74" s="47"/>
      <c r="Y74" s="47"/>
      <c r="Z74" s="47"/>
      <c r="AA74" s="47"/>
      <c r="AB74" s="47"/>
    </row>
    <row r="75" spans="1:28" ht="15.75" customHeight="1">
      <c r="A75" s="18"/>
      <c r="B75" s="18"/>
      <c r="C75" s="18"/>
      <c r="D75" s="43"/>
      <c r="E75" s="43"/>
      <c r="F75" s="43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46"/>
      <c r="U75" s="46"/>
      <c r="V75" s="46"/>
      <c r="W75" s="46"/>
      <c r="X75" s="47"/>
      <c r="Y75" s="47"/>
      <c r="Z75" s="47"/>
      <c r="AA75" s="47"/>
      <c r="AB75" s="47"/>
    </row>
    <row r="76" spans="1:28" ht="15.75" customHeight="1">
      <c r="A76" s="18"/>
      <c r="B76" s="18"/>
      <c r="C76" s="18"/>
      <c r="D76" s="43"/>
      <c r="E76" s="43"/>
      <c r="F76" s="43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46"/>
      <c r="U76" s="46"/>
      <c r="V76" s="46"/>
      <c r="W76" s="46"/>
      <c r="X76" s="47"/>
      <c r="Y76" s="47"/>
      <c r="Z76" s="47"/>
      <c r="AA76" s="47"/>
      <c r="AB76" s="47"/>
    </row>
    <row r="77" spans="1:28" ht="15.75" customHeight="1">
      <c r="A77" s="18"/>
      <c r="B77" s="18"/>
      <c r="C77" s="18"/>
      <c r="D77" s="43"/>
      <c r="E77" s="43"/>
      <c r="F77" s="43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46"/>
      <c r="U77" s="46"/>
      <c r="V77" s="46"/>
      <c r="W77" s="46"/>
      <c r="X77" s="47"/>
      <c r="Y77" s="47"/>
      <c r="Z77" s="47"/>
      <c r="AA77" s="47"/>
      <c r="AB77" s="47"/>
    </row>
    <row r="78" spans="1:28" ht="15.75" customHeight="1">
      <c r="A78" s="18"/>
      <c r="B78" s="18"/>
      <c r="C78" s="18"/>
      <c r="D78" s="43"/>
      <c r="E78" s="43"/>
      <c r="F78" s="43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46"/>
      <c r="U78" s="46"/>
      <c r="V78" s="46"/>
      <c r="W78" s="46"/>
      <c r="X78" s="47"/>
      <c r="Y78" s="47"/>
      <c r="Z78" s="47"/>
      <c r="AA78" s="47"/>
      <c r="AB78" s="47"/>
    </row>
    <row r="79" spans="1:28" ht="15.75" customHeight="1">
      <c r="A79" s="18"/>
      <c r="B79" s="18"/>
      <c r="C79" s="18"/>
      <c r="D79" s="43"/>
      <c r="E79" s="43"/>
      <c r="F79" s="43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46"/>
      <c r="U79" s="46"/>
      <c r="V79" s="46"/>
      <c r="W79" s="46"/>
      <c r="X79" s="47"/>
      <c r="Y79" s="47"/>
      <c r="Z79" s="47"/>
      <c r="AA79" s="47"/>
      <c r="AB79" s="47"/>
    </row>
    <row r="80" spans="1:28" ht="15.75" customHeight="1">
      <c r="A80" s="18"/>
      <c r="B80" s="18"/>
      <c r="C80" s="18"/>
      <c r="D80" s="43"/>
      <c r="E80" s="43"/>
      <c r="F80" s="43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46"/>
      <c r="U80" s="46"/>
      <c r="V80" s="46"/>
      <c r="W80" s="46"/>
      <c r="X80" s="47"/>
      <c r="Y80" s="47"/>
      <c r="Z80" s="47"/>
      <c r="AA80" s="47"/>
      <c r="AB80" s="47"/>
    </row>
    <row r="81" spans="1:28" ht="15.75" customHeight="1">
      <c r="A81" s="18"/>
      <c r="B81" s="18"/>
      <c r="C81" s="18"/>
      <c r="D81" s="43"/>
      <c r="E81" s="43"/>
      <c r="F81" s="43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46"/>
      <c r="U81" s="46"/>
      <c r="V81" s="46"/>
      <c r="W81" s="46"/>
      <c r="X81" s="47"/>
      <c r="Y81" s="47"/>
      <c r="Z81" s="47"/>
      <c r="AA81" s="47"/>
      <c r="AB81" s="47"/>
    </row>
    <row r="82" spans="1:28" ht="15.75" customHeight="1">
      <c r="A82" s="18"/>
      <c r="B82" s="18"/>
      <c r="C82" s="18"/>
      <c r="D82" s="43"/>
      <c r="E82" s="43"/>
      <c r="F82" s="43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46"/>
      <c r="U82" s="46"/>
      <c r="V82" s="46"/>
      <c r="W82" s="46"/>
      <c r="X82" s="47"/>
      <c r="Y82" s="47"/>
      <c r="Z82" s="47"/>
      <c r="AA82" s="47"/>
      <c r="AB82" s="47"/>
    </row>
    <row r="83" spans="1:28" ht="15.75" customHeight="1">
      <c r="A83" s="18"/>
      <c r="B83" s="18"/>
      <c r="C83" s="18"/>
      <c r="D83" s="43"/>
      <c r="E83" s="43"/>
      <c r="F83" s="43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46"/>
      <c r="U83" s="46"/>
      <c r="V83" s="46"/>
      <c r="W83" s="46"/>
      <c r="X83" s="47"/>
      <c r="Y83" s="47"/>
      <c r="Z83" s="47"/>
      <c r="AA83" s="47"/>
      <c r="AB83" s="47"/>
    </row>
    <row r="84" spans="1:28" ht="15.75" customHeight="1">
      <c r="A84" s="18"/>
      <c r="B84" s="18"/>
      <c r="C84" s="18"/>
      <c r="D84" s="43"/>
      <c r="E84" s="43"/>
      <c r="F84" s="43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46"/>
      <c r="U84" s="46"/>
      <c r="V84" s="46"/>
      <c r="W84" s="46"/>
      <c r="X84" s="47"/>
      <c r="Y84" s="47"/>
      <c r="Z84" s="47"/>
      <c r="AA84" s="47"/>
      <c r="AB84" s="47"/>
    </row>
    <row r="85" spans="1:28" ht="15.75" customHeight="1">
      <c r="A85" s="18"/>
      <c r="B85" s="18"/>
      <c r="C85" s="18"/>
      <c r="D85" s="43"/>
      <c r="E85" s="43"/>
      <c r="F85" s="43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46"/>
      <c r="U85" s="46"/>
      <c r="V85" s="46"/>
      <c r="W85" s="46"/>
      <c r="X85" s="47"/>
      <c r="Y85" s="47"/>
      <c r="Z85" s="47"/>
      <c r="AA85" s="47"/>
      <c r="AB85" s="47"/>
    </row>
    <row r="86" spans="1:28" ht="15.75" customHeight="1">
      <c r="A86" s="18"/>
      <c r="B86" s="18"/>
      <c r="C86" s="18"/>
      <c r="D86" s="43"/>
      <c r="E86" s="43"/>
      <c r="F86" s="43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46"/>
      <c r="U86" s="46"/>
      <c r="V86" s="46"/>
      <c r="W86" s="46"/>
      <c r="X86" s="47"/>
      <c r="Y86" s="47"/>
      <c r="Z86" s="47"/>
      <c r="AA86" s="47"/>
      <c r="AB86" s="47"/>
    </row>
    <row r="87" spans="1:28" ht="15.75" customHeight="1">
      <c r="A87" s="18"/>
      <c r="B87" s="18"/>
      <c r="C87" s="18"/>
      <c r="D87" s="43"/>
      <c r="E87" s="43"/>
      <c r="F87" s="43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46"/>
      <c r="U87" s="46"/>
      <c r="V87" s="46"/>
      <c r="W87" s="46"/>
      <c r="X87" s="47"/>
      <c r="Y87" s="47"/>
      <c r="Z87" s="47"/>
      <c r="AA87" s="47"/>
      <c r="AB87" s="47"/>
    </row>
    <row r="88" spans="1:28" ht="15.75" customHeight="1">
      <c r="A88" s="18"/>
      <c r="B88" s="18"/>
      <c r="C88" s="18"/>
      <c r="D88" s="43"/>
      <c r="E88" s="43"/>
      <c r="F88" s="43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46"/>
      <c r="U88" s="46"/>
      <c r="V88" s="46"/>
      <c r="W88" s="46"/>
      <c r="X88" s="47"/>
      <c r="Y88" s="47"/>
      <c r="Z88" s="47"/>
      <c r="AA88" s="47"/>
      <c r="AB88" s="47"/>
    </row>
    <row r="89" spans="1:28" ht="15.75" customHeight="1">
      <c r="A89" s="18"/>
      <c r="B89" s="18"/>
      <c r="C89" s="18"/>
      <c r="D89" s="43"/>
      <c r="E89" s="43"/>
      <c r="F89" s="43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46"/>
      <c r="U89" s="46"/>
      <c r="V89" s="46"/>
      <c r="W89" s="46"/>
      <c r="X89" s="47"/>
      <c r="Y89" s="47"/>
      <c r="Z89" s="47"/>
      <c r="AA89" s="47"/>
      <c r="AB89" s="47"/>
    </row>
    <row r="90" spans="1:28" ht="15.75" customHeight="1">
      <c r="A90" s="18"/>
      <c r="B90" s="18"/>
      <c r="C90" s="18"/>
      <c r="D90" s="43"/>
      <c r="E90" s="43"/>
      <c r="F90" s="43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46"/>
      <c r="U90" s="46"/>
      <c r="V90" s="46"/>
      <c r="W90" s="46"/>
      <c r="X90" s="47"/>
      <c r="Y90" s="47"/>
      <c r="Z90" s="47"/>
      <c r="AA90" s="47"/>
      <c r="AB90" s="47"/>
    </row>
    <row r="91" spans="1:28" ht="15.75" customHeight="1">
      <c r="A91" s="18"/>
      <c r="B91" s="18"/>
      <c r="C91" s="18"/>
      <c r="D91" s="43"/>
      <c r="E91" s="43"/>
      <c r="F91" s="43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46"/>
      <c r="U91" s="46"/>
      <c r="V91" s="46"/>
      <c r="W91" s="46"/>
      <c r="X91" s="47"/>
      <c r="Y91" s="47"/>
      <c r="Z91" s="47"/>
      <c r="AA91" s="47"/>
      <c r="AB91" s="47"/>
    </row>
    <row r="92" spans="1:28" ht="15.75" customHeight="1">
      <c r="A92" s="18"/>
      <c r="B92" s="18"/>
      <c r="C92" s="18"/>
      <c r="D92" s="43"/>
      <c r="E92" s="43"/>
      <c r="F92" s="43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46"/>
      <c r="U92" s="46"/>
      <c r="V92" s="46"/>
      <c r="W92" s="46"/>
      <c r="X92" s="47"/>
      <c r="Y92" s="47"/>
      <c r="Z92" s="47"/>
      <c r="AA92" s="47"/>
      <c r="AB92" s="47"/>
    </row>
    <row r="93" spans="1:28" ht="15.75" customHeight="1">
      <c r="A93" s="18"/>
      <c r="B93" s="18"/>
      <c r="C93" s="18"/>
      <c r="D93" s="43"/>
      <c r="E93" s="43"/>
      <c r="F93" s="43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46"/>
      <c r="U93" s="46"/>
      <c r="V93" s="46"/>
      <c r="W93" s="46"/>
      <c r="X93" s="47"/>
      <c r="Y93" s="47"/>
      <c r="Z93" s="47"/>
      <c r="AA93" s="47"/>
      <c r="AB93" s="47"/>
    </row>
    <row r="94" spans="1:28" ht="15.75" customHeight="1">
      <c r="A94" s="18"/>
      <c r="B94" s="18"/>
      <c r="C94" s="18"/>
      <c r="D94" s="43"/>
      <c r="E94" s="43"/>
      <c r="F94" s="43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46"/>
      <c r="U94" s="46"/>
      <c r="V94" s="46"/>
      <c r="W94" s="46"/>
      <c r="X94" s="47"/>
      <c r="Y94" s="47"/>
      <c r="Z94" s="47"/>
      <c r="AA94" s="47"/>
      <c r="AB94" s="47"/>
    </row>
    <row r="95" spans="1:28" ht="15.75" customHeight="1">
      <c r="A95" s="18"/>
      <c r="B95" s="18"/>
      <c r="C95" s="18"/>
      <c r="D95" s="43"/>
      <c r="E95" s="43"/>
      <c r="F95" s="43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46"/>
      <c r="U95" s="46"/>
      <c r="V95" s="46"/>
      <c r="W95" s="46"/>
      <c r="X95" s="47"/>
      <c r="Y95" s="47"/>
      <c r="Z95" s="47"/>
      <c r="AA95" s="47"/>
      <c r="AB95" s="47"/>
    </row>
    <row r="96" spans="1:28" ht="15.75" customHeight="1">
      <c r="A96" s="18"/>
      <c r="B96" s="18"/>
      <c r="C96" s="18"/>
      <c r="D96" s="43"/>
      <c r="E96" s="43"/>
      <c r="F96" s="43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46"/>
      <c r="U96" s="46"/>
      <c r="V96" s="46"/>
      <c r="W96" s="46"/>
      <c r="X96" s="47"/>
      <c r="Y96" s="47"/>
      <c r="Z96" s="47"/>
      <c r="AA96" s="47"/>
      <c r="AB96" s="47"/>
    </row>
    <row r="97" spans="1:28" ht="15.75" customHeight="1">
      <c r="A97" s="18"/>
      <c r="B97" s="18"/>
      <c r="C97" s="18"/>
      <c r="D97" s="43"/>
      <c r="E97" s="43"/>
      <c r="F97" s="43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46"/>
      <c r="U97" s="46"/>
      <c r="V97" s="46"/>
      <c r="W97" s="46"/>
      <c r="X97" s="47"/>
      <c r="Y97" s="47"/>
      <c r="Z97" s="47"/>
      <c r="AA97" s="47"/>
      <c r="AB97" s="47"/>
    </row>
    <row r="98" spans="1:28" ht="15.75" customHeight="1">
      <c r="A98" s="18"/>
      <c r="B98" s="18"/>
      <c r="C98" s="18"/>
      <c r="D98" s="43"/>
      <c r="E98" s="43"/>
      <c r="F98" s="43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46"/>
      <c r="U98" s="46"/>
      <c r="V98" s="46"/>
      <c r="W98" s="46"/>
      <c r="X98" s="47"/>
      <c r="Y98" s="47"/>
      <c r="Z98" s="47"/>
      <c r="AA98" s="47"/>
      <c r="AB98" s="47"/>
    </row>
    <row r="99" spans="1:28" ht="15.75" customHeight="1">
      <c r="A99" s="18"/>
      <c r="B99" s="18"/>
      <c r="C99" s="18"/>
      <c r="D99" s="43"/>
      <c r="E99" s="43"/>
      <c r="F99" s="43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46"/>
      <c r="U99" s="46"/>
      <c r="V99" s="46"/>
      <c r="W99" s="46"/>
      <c r="X99" s="47"/>
      <c r="Y99" s="47"/>
      <c r="Z99" s="47"/>
      <c r="AA99" s="47"/>
      <c r="AB99" s="47"/>
    </row>
    <row r="100" spans="1:28" ht="15.75" customHeight="1">
      <c r="A100" s="18"/>
      <c r="B100" s="18"/>
      <c r="C100" s="18"/>
      <c r="D100" s="43"/>
      <c r="E100" s="43"/>
      <c r="F100" s="43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46"/>
      <c r="U100" s="46"/>
      <c r="V100" s="46"/>
      <c r="W100" s="46"/>
      <c r="X100" s="47"/>
      <c r="Y100" s="47"/>
      <c r="Z100" s="47"/>
      <c r="AA100" s="47"/>
      <c r="AB100" s="47"/>
    </row>
    <row r="101" spans="1:28" ht="15.75" customHeight="1">
      <c r="A101" s="18"/>
      <c r="B101" s="18"/>
      <c r="C101" s="18"/>
      <c r="D101" s="43"/>
      <c r="E101" s="43"/>
      <c r="F101" s="43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46"/>
      <c r="U101" s="46"/>
      <c r="V101" s="46"/>
      <c r="W101" s="46"/>
      <c r="X101" s="47"/>
      <c r="Y101" s="47"/>
      <c r="Z101" s="47"/>
      <c r="AA101" s="47"/>
      <c r="AB101" s="47"/>
    </row>
    <row r="102" spans="1:28" ht="15.75" customHeight="1">
      <c r="A102" s="18"/>
      <c r="B102" s="18"/>
      <c r="C102" s="18"/>
      <c r="D102" s="43"/>
      <c r="E102" s="43"/>
      <c r="F102" s="43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46"/>
      <c r="U102" s="46"/>
      <c r="V102" s="46"/>
      <c r="W102" s="46"/>
      <c r="X102" s="47"/>
      <c r="Y102" s="47"/>
      <c r="Z102" s="47"/>
      <c r="AA102" s="47"/>
      <c r="AB102" s="47"/>
    </row>
    <row r="103" spans="1:28" ht="15.75" customHeight="1">
      <c r="A103" s="18"/>
      <c r="B103" s="18"/>
      <c r="C103" s="18"/>
      <c r="D103" s="43"/>
      <c r="E103" s="43"/>
      <c r="F103" s="43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46"/>
      <c r="U103" s="46"/>
      <c r="V103" s="46"/>
      <c r="W103" s="46"/>
      <c r="X103" s="47"/>
      <c r="Y103" s="47"/>
      <c r="Z103" s="47"/>
      <c r="AA103" s="47"/>
      <c r="AB103" s="47"/>
    </row>
    <row r="104" spans="1:28" ht="15.75" customHeight="1">
      <c r="A104" s="18"/>
      <c r="B104" s="18"/>
      <c r="C104" s="18"/>
      <c r="D104" s="43"/>
      <c r="E104" s="43"/>
      <c r="F104" s="43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46"/>
      <c r="U104" s="46"/>
      <c r="V104" s="46"/>
      <c r="W104" s="46"/>
      <c r="X104" s="47"/>
      <c r="Y104" s="47"/>
      <c r="Z104" s="47"/>
      <c r="AA104" s="47"/>
      <c r="AB104" s="47"/>
    </row>
    <row r="105" spans="1:28" ht="15.75" customHeight="1">
      <c r="A105" s="18"/>
      <c r="B105" s="18"/>
      <c r="C105" s="18"/>
      <c r="D105" s="43"/>
      <c r="E105" s="43"/>
      <c r="F105" s="43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46"/>
      <c r="U105" s="46"/>
      <c r="V105" s="46"/>
      <c r="W105" s="46"/>
      <c r="X105" s="47"/>
      <c r="Y105" s="47"/>
      <c r="Z105" s="47"/>
      <c r="AA105" s="47"/>
      <c r="AB105" s="47"/>
    </row>
    <row r="106" spans="1:28" ht="15.75" customHeight="1">
      <c r="A106" s="18"/>
      <c r="B106" s="18"/>
      <c r="C106" s="18"/>
      <c r="D106" s="43"/>
      <c r="E106" s="43"/>
      <c r="F106" s="43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46"/>
      <c r="U106" s="46"/>
      <c r="V106" s="46"/>
      <c r="W106" s="46"/>
      <c r="X106" s="47"/>
      <c r="Y106" s="47"/>
      <c r="Z106" s="47"/>
      <c r="AA106" s="47"/>
      <c r="AB106" s="47"/>
    </row>
    <row r="107" spans="1:28" ht="15.75" customHeight="1">
      <c r="A107" s="18"/>
      <c r="B107" s="18"/>
      <c r="C107" s="18"/>
      <c r="D107" s="43"/>
      <c r="E107" s="43"/>
      <c r="F107" s="43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46"/>
      <c r="U107" s="46"/>
      <c r="V107" s="46"/>
      <c r="W107" s="46"/>
      <c r="X107" s="47"/>
      <c r="Y107" s="47"/>
      <c r="Z107" s="47"/>
      <c r="AA107" s="47"/>
      <c r="AB107" s="47"/>
    </row>
    <row r="108" spans="1:28" ht="15.75" customHeight="1">
      <c r="A108" s="18"/>
      <c r="B108" s="18"/>
      <c r="C108" s="18"/>
      <c r="D108" s="43"/>
      <c r="E108" s="43"/>
      <c r="F108" s="43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46"/>
      <c r="U108" s="46"/>
      <c r="V108" s="46"/>
      <c r="W108" s="46"/>
      <c r="X108" s="47"/>
      <c r="Y108" s="47"/>
      <c r="Z108" s="47"/>
      <c r="AA108" s="47"/>
      <c r="AB108" s="47"/>
    </row>
    <row r="109" spans="1:28" ht="15.75" customHeight="1">
      <c r="A109" s="18"/>
      <c r="B109" s="18"/>
      <c r="C109" s="18"/>
      <c r="D109" s="43"/>
      <c r="E109" s="43"/>
      <c r="F109" s="43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46"/>
      <c r="U109" s="46"/>
      <c r="V109" s="46"/>
      <c r="W109" s="46"/>
      <c r="X109" s="47"/>
      <c r="Y109" s="47"/>
      <c r="Z109" s="47"/>
      <c r="AA109" s="47"/>
      <c r="AB109" s="47"/>
    </row>
    <row r="110" spans="1:28" ht="15.75" customHeight="1">
      <c r="A110" s="18"/>
      <c r="B110" s="18"/>
      <c r="C110" s="18"/>
      <c r="D110" s="43"/>
      <c r="E110" s="43"/>
      <c r="F110" s="43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46"/>
      <c r="U110" s="46"/>
      <c r="V110" s="46"/>
      <c r="W110" s="46"/>
      <c r="X110" s="47"/>
      <c r="Y110" s="47"/>
      <c r="Z110" s="47"/>
      <c r="AA110" s="47"/>
      <c r="AB110" s="47"/>
    </row>
    <row r="111" spans="1:28" ht="15.75" customHeight="1">
      <c r="A111" s="18"/>
      <c r="B111" s="18"/>
      <c r="C111" s="18"/>
      <c r="D111" s="43"/>
      <c r="E111" s="43"/>
      <c r="F111" s="43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46"/>
      <c r="U111" s="46"/>
      <c r="V111" s="46"/>
      <c r="W111" s="46"/>
      <c r="X111" s="47"/>
      <c r="Y111" s="47"/>
      <c r="Z111" s="47"/>
      <c r="AA111" s="47"/>
      <c r="AB111" s="47"/>
    </row>
    <row r="112" spans="1:28" ht="15.75" customHeight="1">
      <c r="A112" s="18"/>
      <c r="B112" s="18"/>
      <c r="C112" s="18"/>
      <c r="D112" s="43"/>
      <c r="E112" s="43"/>
      <c r="F112" s="43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46"/>
      <c r="U112" s="46"/>
      <c r="V112" s="46"/>
      <c r="W112" s="46"/>
      <c r="X112" s="47"/>
      <c r="Y112" s="47"/>
      <c r="Z112" s="47"/>
      <c r="AA112" s="47"/>
      <c r="AB112" s="47"/>
    </row>
    <row r="113" spans="1:28" ht="15.75" customHeight="1">
      <c r="A113" s="18"/>
      <c r="B113" s="18"/>
      <c r="C113" s="18"/>
      <c r="D113" s="43"/>
      <c r="E113" s="43"/>
      <c r="F113" s="43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46"/>
      <c r="U113" s="46"/>
      <c r="V113" s="46"/>
      <c r="W113" s="46"/>
      <c r="X113" s="47"/>
      <c r="Y113" s="47"/>
      <c r="Z113" s="47"/>
      <c r="AA113" s="47"/>
      <c r="AB113" s="47"/>
    </row>
    <row r="114" spans="1:28" ht="15.75" customHeight="1">
      <c r="A114" s="18"/>
      <c r="B114" s="18"/>
      <c r="C114" s="18"/>
      <c r="D114" s="43"/>
      <c r="E114" s="43"/>
      <c r="F114" s="43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46"/>
      <c r="U114" s="46"/>
      <c r="V114" s="46"/>
      <c r="W114" s="46"/>
      <c r="X114" s="47"/>
      <c r="Y114" s="47"/>
      <c r="Z114" s="47"/>
      <c r="AA114" s="47"/>
      <c r="AB114" s="47"/>
    </row>
    <row r="115" spans="1:28" ht="15.75" customHeight="1">
      <c r="A115" s="18"/>
      <c r="B115" s="18"/>
      <c r="C115" s="18"/>
      <c r="D115" s="43"/>
      <c r="E115" s="43"/>
      <c r="F115" s="43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46"/>
      <c r="U115" s="46"/>
      <c r="V115" s="46"/>
      <c r="W115" s="46"/>
      <c r="X115" s="47"/>
      <c r="Y115" s="47"/>
      <c r="Z115" s="47"/>
      <c r="AA115" s="47"/>
      <c r="AB115" s="47"/>
    </row>
    <row r="116" spans="1:28" ht="15.75" customHeight="1">
      <c r="A116" s="18"/>
      <c r="B116" s="18"/>
      <c r="C116" s="18"/>
      <c r="D116" s="43"/>
      <c r="E116" s="43"/>
      <c r="F116" s="43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46"/>
      <c r="U116" s="46"/>
      <c r="V116" s="46"/>
      <c r="W116" s="46"/>
      <c r="X116" s="47"/>
      <c r="Y116" s="47"/>
      <c r="Z116" s="47"/>
      <c r="AA116" s="47"/>
      <c r="AB116" s="47"/>
    </row>
    <row r="117" spans="1:28" ht="15.75" customHeight="1">
      <c r="A117" s="18"/>
      <c r="B117" s="18"/>
      <c r="C117" s="18"/>
      <c r="D117" s="43"/>
      <c r="E117" s="43"/>
      <c r="F117" s="43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46"/>
      <c r="U117" s="46"/>
      <c r="V117" s="46"/>
      <c r="W117" s="46"/>
      <c r="X117" s="47"/>
      <c r="Y117" s="47"/>
      <c r="Z117" s="47"/>
      <c r="AA117" s="47"/>
      <c r="AB117" s="47"/>
    </row>
    <row r="118" spans="1:28" ht="15.75" customHeight="1">
      <c r="A118" s="18"/>
      <c r="B118" s="18"/>
      <c r="C118" s="18"/>
      <c r="D118" s="43"/>
      <c r="E118" s="43"/>
      <c r="F118" s="43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46"/>
      <c r="U118" s="46"/>
      <c r="V118" s="46"/>
      <c r="W118" s="46"/>
      <c r="X118" s="47"/>
      <c r="Y118" s="47"/>
      <c r="Z118" s="47"/>
      <c r="AA118" s="47"/>
      <c r="AB118" s="47"/>
    </row>
    <row r="119" spans="1:28" ht="15.75" customHeight="1">
      <c r="A119" s="18"/>
      <c r="B119" s="18"/>
      <c r="C119" s="18"/>
      <c r="D119" s="43"/>
      <c r="E119" s="43"/>
      <c r="F119" s="43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46"/>
      <c r="U119" s="46"/>
      <c r="V119" s="46"/>
      <c r="W119" s="46"/>
      <c r="X119" s="47"/>
      <c r="Y119" s="47"/>
      <c r="Z119" s="47"/>
      <c r="AA119" s="47"/>
      <c r="AB119" s="47"/>
    </row>
    <row r="120" spans="1:28" ht="15.75" customHeight="1">
      <c r="A120" s="18"/>
      <c r="B120" s="18"/>
      <c r="C120" s="18"/>
      <c r="D120" s="43"/>
      <c r="E120" s="43"/>
      <c r="F120" s="43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46"/>
      <c r="U120" s="46"/>
      <c r="V120" s="46"/>
      <c r="W120" s="46"/>
      <c r="X120" s="47"/>
      <c r="Y120" s="47"/>
      <c r="Z120" s="47"/>
      <c r="AA120" s="47"/>
      <c r="AB120" s="47"/>
    </row>
    <row r="121" spans="1:28" ht="15.75" customHeight="1">
      <c r="A121" s="18"/>
      <c r="B121" s="18"/>
      <c r="C121" s="18"/>
      <c r="D121" s="43"/>
      <c r="E121" s="43"/>
      <c r="F121" s="43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46"/>
      <c r="U121" s="46"/>
      <c r="V121" s="46"/>
      <c r="W121" s="46"/>
      <c r="X121" s="47"/>
      <c r="Y121" s="47"/>
      <c r="Z121" s="47"/>
      <c r="AA121" s="47"/>
      <c r="AB121" s="47"/>
    </row>
    <row r="122" spans="1:28" ht="15.75" customHeight="1">
      <c r="A122" s="18"/>
      <c r="B122" s="18"/>
      <c r="C122" s="18"/>
      <c r="D122" s="43"/>
      <c r="E122" s="43"/>
      <c r="F122" s="43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46"/>
      <c r="U122" s="46"/>
      <c r="V122" s="46"/>
      <c r="W122" s="46"/>
      <c r="X122" s="47"/>
      <c r="Y122" s="47"/>
      <c r="Z122" s="47"/>
      <c r="AA122" s="47"/>
      <c r="AB122" s="47"/>
    </row>
    <row r="123" spans="1:28" ht="15.75" customHeight="1">
      <c r="A123" s="18"/>
      <c r="B123" s="18"/>
      <c r="C123" s="18"/>
      <c r="D123" s="43"/>
      <c r="E123" s="43"/>
      <c r="F123" s="43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46"/>
      <c r="U123" s="46"/>
      <c r="V123" s="46"/>
      <c r="W123" s="46"/>
      <c r="X123" s="47"/>
      <c r="Y123" s="47"/>
      <c r="Z123" s="47"/>
      <c r="AA123" s="47"/>
      <c r="AB123" s="47"/>
    </row>
    <row r="124" spans="1:28" ht="15.75" customHeight="1">
      <c r="A124" s="18"/>
      <c r="B124" s="18"/>
      <c r="C124" s="18"/>
      <c r="D124" s="43"/>
      <c r="E124" s="43"/>
      <c r="F124" s="43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46"/>
      <c r="U124" s="46"/>
      <c r="V124" s="46"/>
      <c r="W124" s="46"/>
      <c r="X124" s="47"/>
      <c r="Y124" s="47"/>
      <c r="Z124" s="47"/>
      <c r="AA124" s="47"/>
      <c r="AB124" s="47"/>
    </row>
    <row r="125" spans="1:28" ht="15.75" customHeight="1">
      <c r="A125" s="18"/>
      <c r="B125" s="18"/>
      <c r="C125" s="18"/>
      <c r="D125" s="43"/>
      <c r="E125" s="43"/>
      <c r="F125" s="43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46"/>
      <c r="U125" s="46"/>
      <c r="V125" s="46"/>
      <c r="W125" s="46"/>
      <c r="X125" s="47"/>
      <c r="Y125" s="47"/>
      <c r="Z125" s="47"/>
      <c r="AA125" s="47"/>
      <c r="AB125" s="47"/>
    </row>
    <row r="126" spans="1:28" ht="15.75" customHeight="1">
      <c r="A126" s="18"/>
      <c r="B126" s="18"/>
      <c r="C126" s="18"/>
      <c r="D126" s="43"/>
      <c r="E126" s="43"/>
      <c r="F126" s="43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46"/>
      <c r="U126" s="46"/>
      <c r="V126" s="46"/>
      <c r="W126" s="46"/>
      <c r="X126" s="47"/>
      <c r="Y126" s="47"/>
      <c r="Z126" s="47"/>
      <c r="AA126" s="47"/>
      <c r="AB126" s="47"/>
    </row>
    <row r="127" spans="1:28" ht="15.75" customHeight="1">
      <c r="A127" s="18"/>
      <c r="B127" s="18"/>
      <c r="C127" s="18"/>
      <c r="D127" s="43"/>
      <c r="E127" s="43"/>
      <c r="F127" s="43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46"/>
      <c r="U127" s="46"/>
      <c r="V127" s="46"/>
      <c r="W127" s="46"/>
      <c r="X127" s="47"/>
      <c r="Y127" s="47"/>
      <c r="Z127" s="47"/>
      <c r="AA127" s="47"/>
      <c r="AB127" s="47"/>
    </row>
    <row r="128" spans="1:28" ht="15.75" customHeight="1">
      <c r="A128" s="18"/>
      <c r="B128" s="18"/>
      <c r="C128" s="18"/>
      <c r="D128" s="43"/>
      <c r="E128" s="43"/>
      <c r="F128" s="43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46"/>
      <c r="U128" s="46"/>
      <c r="V128" s="46"/>
      <c r="W128" s="46"/>
      <c r="X128" s="47"/>
      <c r="Y128" s="47"/>
      <c r="Z128" s="47"/>
      <c r="AA128" s="47"/>
      <c r="AB128" s="47"/>
    </row>
    <row r="129" spans="1:28" ht="15.75" customHeight="1">
      <c r="A129" s="18"/>
      <c r="B129" s="18"/>
      <c r="C129" s="18"/>
      <c r="D129" s="43"/>
      <c r="E129" s="43"/>
      <c r="F129" s="43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46"/>
      <c r="U129" s="46"/>
      <c r="V129" s="46"/>
      <c r="W129" s="46"/>
      <c r="X129" s="47"/>
      <c r="Y129" s="47"/>
      <c r="Z129" s="47"/>
      <c r="AA129" s="47"/>
      <c r="AB129" s="47"/>
    </row>
    <row r="130" spans="1:28" ht="15.75" customHeight="1">
      <c r="A130" s="18"/>
      <c r="B130" s="18"/>
      <c r="C130" s="18"/>
      <c r="D130" s="43"/>
      <c r="E130" s="43"/>
      <c r="F130" s="43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46"/>
      <c r="U130" s="46"/>
      <c r="V130" s="46"/>
      <c r="W130" s="46"/>
      <c r="X130" s="47"/>
      <c r="Y130" s="47"/>
      <c r="Z130" s="47"/>
      <c r="AA130" s="47"/>
      <c r="AB130" s="47"/>
    </row>
    <row r="131" spans="1:28" ht="15.75" customHeight="1">
      <c r="A131" s="18"/>
      <c r="B131" s="18"/>
      <c r="C131" s="18"/>
      <c r="D131" s="43"/>
      <c r="E131" s="43"/>
      <c r="F131" s="43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46"/>
      <c r="U131" s="46"/>
      <c r="V131" s="46"/>
      <c r="W131" s="46"/>
      <c r="X131" s="47"/>
      <c r="Y131" s="47"/>
      <c r="Z131" s="47"/>
      <c r="AA131" s="47"/>
      <c r="AB131" s="47"/>
    </row>
    <row r="132" spans="1:28" ht="15.75" customHeight="1">
      <c r="A132" s="18"/>
      <c r="B132" s="18"/>
      <c r="C132" s="18"/>
      <c r="D132" s="43"/>
      <c r="E132" s="43"/>
      <c r="F132" s="43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46"/>
      <c r="U132" s="46"/>
      <c r="V132" s="46"/>
      <c r="W132" s="46"/>
      <c r="X132" s="47"/>
      <c r="Y132" s="47"/>
      <c r="Z132" s="47"/>
      <c r="AA132" s="47"/>
      <c r="AB132" s="47"/>
    </row>
    <row r="133" spans="1:28" ht="15.75" customHeight="1">
      <c r="A133" s="18"/>
      <c r="B133" s="18"/>
      <c r="C133" s="18"/>
      <c r="D133" s="43"/>
      <c r="E133" s="43"/>
      <c r="F133" s="43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46"/>
      <c r="U133" s="46"/>
      <c r="V133" s="46"/>
      <c r="W133" s="46"/>
      <c r="X133" s="47"/>
      <c r="Y133" s="47"/>
      <c r="Z133" s="47"/>
      <c r="AA133" s="47"/>
      <c r="AB133" s="47"/>
    </row>
    <row r="134" spans="1:28" ht="15.75" customHeight="1">
      <c r="A134" s="18"/>
      <c r="B134" s="18"/>
      <c r="C134" s="18"/>
      <c r="D134" s="43"/>
      <c r="E134" s="43"/>
      <c r="F134" s="43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46"/>
      <c r="U134" s="46"/>
      <c r="V134" s="46"/>
      <c r="W134" s="46"/>
      <c r="X134" s="47"/>
      <c r="Y134" s="47"/>
      <c r="Z134" s="47"/>
      <c r="AA134" s="47"/>
      <c r="AB134" s="47"/>
    </row>
    <row r="135" spans="1:28" ht="15.75" customHeight="1">
      <c r="A135" s="18"/>
      <c r="B135" s="18"/>
      <c r="C135" s="18"/>
      <c r="D135" s="43"/>
      <c r="E135" s="43"/>
      <c r="F135" s="43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46"/>
      <c r="U135" s="46"/>
      <c r="V135" s="46"/>
      <c r="W135" s="46"/>
      <c r="X135" s="47"/>
      <c r="Y135" s="47"/>
      <c r="Z135" s="47"/>
      <c r="AA135" s="47"/>
      <c r="AB135" s="47"/>
    </row>
    <row r="136" spans="1:28" ht="15.75" customHeight="1">
      <c r="A136" s="18"/>
      <c r="B136" s="18"/>
      <c r="C136" s="18"/>
      <c r="D136" s="43"/>
      <c r="E136" s="43"/>
      <c r="F136" s="43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46"/>
      <c r="U136" s="46"/>
      <c r="V136" s="46"/>
      <c r="W136" s="46"/>
      <c r="X136" s="47"/>
      <c r="Y136" s="47"/>
      <c r="Z136" s="47"/>
      <c r="AA136" s="47"/>
      <c r="AB136" s="47"/>
    </row>
    <row r="137" spans="1:28" ht="15.75" customHeight="1">
      <c r="A137" s="18"/>
      <c r="B137" s="18"/>
      <c r="C137" s="18"/>
      <c r="D137" s="43"/>
      <c r="E137" s="43"/>
      <c r="F137" s="43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46"/>
      <c r="U137" s="46"/>
      <c r="V137" s="46"/>
      <c r="W137" s="46"/>
      <c r="X137" s="47"/>
      <c r="Y137" s="47"/>
      <c r="Z137" s="47"/>
      <c r="AA137" s="47"/>
      <c r="AB137" s="47"/>
    </row>
    <row r="138" spans="1:28" ht="15.75" customHeight="1">
      <c r="A138" s="18"/>
      <c r="B138" s="18"/>
      <c r="C138" s="18"/>
      <c r="D138" s="43"/>
      <c r="E138" s="43"/>
      <c r="F138" s="43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46"/>
      <c r="U138" s="46"/>
      <c r="V138" s="46"/>
      <c r="W138" s="46"/>
      <c r="X138" s="47"/>
      <c r="Y138" s="47"/>
      <c r="Z138" s="47"/>
      <c r="AA138" s="47"/>
      <c r="AB138" s="47"/>
    </row>
    <row r="139" spans="1:28" ht="15.75" customHeight="1">
      <c r="A139" s="18"/>
      <c r="B139" s="18"/>
      <c r="C139" s="18"/>
      <c r="D139" s="43"/>
      <c r="E139" s="43"/>
      <c r="F139" s="43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46"/>
      <c r="U139" s="46"/>
      <c r="V139" s="46"/>
      <c r="W139" s="46"/>
      <c r="X139" s="47"/>
      <c r="Y139" s="47"/>
      <c r="Z139" s="47"/>
      <c r="AA139" s="47"/>
      <c r="AB139" s="47"/>
    </row>
    <row r="140" spans="1:28" ht="15.75" customHeight="1">
      <c r="A140" s="18"/>
      <c r="B140" s="18"/>
      <c r="C140" s="18"/>
      <c r="D140" s="43"/>
      <c r="E140" s="43"/>
      <c r="F140" s="43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46"/>
      <c r="U140" s="46"/>
      <c r="V140" s="46"/>
      <c r="W140" s="46"/>
      <c r="X140" s="47"/>
      <c r="Y140" s="47"/>
      <c r="Z140" s="47"/>
      <c r="AA140" s="47"/>
      <c r="AB140" s="47"/>
    </row>
    <row r="141" spans="1:28" ht="15.75" customHeight="1">
      <c r="A141" s="18"/>
      <c r="B141" s="18"/>
      <c r="C141" s="18"/>
      <c r="D141" s="43"/>
      <c r="E141" s="43"/>
      <c r="F141" s="43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46"/>
      <c r="U141" s="46"/>
      <c r="V141" s="46"/>
      <c r="W141" s="46"/>
      <c r="X141" s="47"/>
      <c r="Y141" s="47"/>
      <c r="Z141" s="47"/>
      <c r="AA141" s="47"/>
      <c r="AB141" s="47"/>
    </row>
    <row r="142" spans="1:28" ht="15.75" customHeight="1">
      <c r="A142" s="18"/>
      <c r="B142" s="18"/>
      <c r="C142" s="18"/>
      <c r="D142" s="43"/>
      <c r="E142" s="43"/>
      <c r="F142" s="43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46"/>
      <c r="U142" s="46"/>
      <c r="V142" s="46"/>
      <c r="W142" s="46"/>
      <c r="X142" s="47"/>
      <c r="Y142" s="47"/>
      <c r="Z142" s="47"/>
      <c r="AA142" s="47"/>
      <c r="AB142" s="47"/>
    </row>
    <row r="143" spans="1:28" ht="15.75" customHeight="1">
      <c r="A143" s="18"/>
      <c r="B143" s="18"/>
      <c r="C143" s="18"/>
      <c r="D143" s="43"/>
      <c r="E143" s="43"/>
      <c r="F143" s="43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46"/>
      <c r="U143" s="46"/>
      <c r="V143" s="46"/>
      <c r="W143" s="46"/>
      <c r="X143" s="47"/>
      <c r="Y143" s="47"/>
      <c r="Z143" s="47"/>
      <c r="AA143" s="47"/>
      <c r="AB143" s="47"/>
    </row>
    <row r="144" spans="1:28" ht="15.75" customHeight="1">
      <c r="A144" s="18"/>
      <c r="B144" s="18"/>
      <c r="C144" s="18"/>
      <c r="D144" s="43"/>
      <c r="E144" s="43"/>
      <c r="F144" s="43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46"/>
      <c r="U144" s="46"/>
      <c r="V144" s="46"/>
      <c r="W144" s="46"/>
      <c r="X144" s="47"/>
      <c r="Y144" s="47"/>
      <c r="Z144" s="47"/>
      <c r="AA144" s="47"/>
      <c r="AB144" s="47"/>
    </row>
    <row r="145" spans="1:28" ht="15.75" customHeight="1">
      <c r="A145" s="18"/>
      <c r="B145" s="18"/>
      <c r="C145" s="18"/>
      <c r="D145" s="43"/>
      <c r="E145" s="43"/>
      <c r="F145" s="43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46"/>
      <c r="U145" s="46"/>
      <c r="V145" s="46"/>
      <c r="W145" s="46"/>
      <c r="X145" s="47"/>
      <c r="Y145" s="47"/>
      <c r="Z145" s="47"/>
      <c r="AA145" s="47"/>
      <c r="AB145" s="47"/>
    </row>
    <row r="146" spans="1:28" ht="15.75" customHeight="1">
      <c r="A146" s="18"/>
      <c r="B146" s="18"/>
      <c r="C146" s="18"/>
      <c r="D146" s="43"/>
      <c r="E146" s="43"/>
      <c r="F146" s="43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46"/>
      <c r="U146" s="46"/>
      <c r="V146" s="46"/>
      <c r="W146" s="46"/>
      <c r="X146" s="47"/>
      <c r="Y146" s="47"/>
      <c r="Z146" s="47"/>
      <c r="AA146" s="47"/>
      <c r="AB146" s="47"/>
    </row>
    <row r="147" spans="1:28" ht="15.75" customHeight="1">
      <c r="A147" s="18"/>
      <c r="B147" s="18"/>
      <c r="C147" s="18"/>
      <c r="D147" s="43"/>
      <c r="E147" s="43"/>
      <c r="F147" s="43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46"/>
      <c r="U147" s="46"/>
      <c r="V147" s="46"/>
      <c r="W147" s="46"/>
      <c r="X147" s="47"/>
      <c r="Y147" s="47"/>
      <c r="Z147" s="47"/>
      <c r="AA147" s="47"/>
      <c r="AB147" s="47"/>
    </row>
    <row r="148" spans="1:28" ht="15.75" customHeight="1">
      <c r="A148" s="18"/>
      <c r="B148" s="18"/>
      <c r="C148" s="18"/>
      <c r="D148" s="43"/>
      <c r="E148" s="43"/>
      <c r="F148" s="43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46"/>
      <c r="U148" s="46"/>
      <c r="V148" s="46"/>
      <c r="W148" s="46"/>
      <c r="X148" s="47"/>
      <c r="Y148" s="47"/>
      <c r="Z148" s="47"/>
      <c r="AA148" s="47"/>
      <c r="AB148" s="47"/>
    </row>
    <row r="149" spans="1:28" ht="15.75" customHeight="1">
      <c r="A149" s="18"/>
      <c r="B149" s="18"/>
      <c r="C149" s="18"/>
      <c r="D149" s="43"/>
      <c r="E149" s="43"/>
      <c r="F149" s="43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46"/>
      <c r="U149" s="46"/>
      <c r="V149" s="46"/>
      <c r="W149" s="46"/>
      <c r="X149" s="47"/>
      <c r="Y149" s="47"/>
      <c r="Z149" s="47"/>
      <c r="AA149" s="47"/>
      <c r="AB149" s="47"/>
    </row>
    <row r="150" spans="1:28" ht="15.75" customHeight="1">
      <c r="A150" s="18"/>
      <c r="B150" s="18"/>
      <c r="C150" s="18"/>
      <c r="D150" s="43"/>
      <c r="E150" s="43"/>
      <c r="F150" s="43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46"/>
      <c r="U150" s="46"/>
      <c r="V150" s="46"/>
      <c r="W150" s="46"/>
      <c r="X150" s="47"/>
      <c r="Y150" s="47"/>
      <c r="Z150" s="47"/>
      <c r="AA150" s="47"/>
      <c r="AB150" s="47"/>
    </row>
    <row r="151" spans="1:28" ht="15.75" customHeight="1">
      <c r="A151" s="18"/>
      <c r="B151" s="18"/>
      <c r="C151" s="18"/>
      <c r="D151" s="43"/>
      <c r="E151" s="43"/>
      <c r="F151" s="43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46"/>
      <c r="U151" s="46"/>
      <c r="V151" s="46"/>
      <c r="W151" s="46"/>
      <c r="X151" s="47"/>
      <c r="Y151" s="47"/>
      <c r="Z151" s="47"/>
      <c r="AA151" s="47"/>
      <c r="AB151" s="47"/>
    </row>
    <row r="152" spans="1:28" ht="15.75" customHeight="1">
      <c r="A152" s="18"/>
      <c r="B152" s="18"/>
      <c r="C152" s="18"/>
      <c r="D152" s="43"/>
      <c r="E152" s="43"/>
      <c r="F152" s="43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46"/>
      <c r="U152" s="46"/>
      <c r="V152" s="46"/>
      <c r="W152" s="46"/>
      <c r="X152" s="47"/>
      <c r="Y152" s="47"/>
      <c r="Z152" s="47"/>
      <c r="AA152" s="47"/>
      <c r="AB152" s="47"/>
    </row>
    <row r="153" spans="1:28" ht="15.75" customHeight="1">
      <c r="A153" s="18"/>
      <c r="B153" s="18"/>
      <c r="C153" s="18"/>
      <c r="D153" s="43"/>
      <c r="E153" s="43"/>
      <c r="F153" s="43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46"/>
      <c r="U153" s="46"/>
      <c r="V153" s="46"/>
      <c r="W153" s="46"/>
      <c r="X153" s="47"/>
      <c r="Y153" s="47"/>
      <c r="Z153" s="47"/>
      <c r="AA153" s="47"/>
      <c r="AB153" s="47"/>
    </row>
    <row r="154" spans="1:28" ht="15.75" customHeight="1">
      <c r="A154" s="18"/>
      <c r="B154" s="18"/>
      <c r="C154" s="18"/>
      <c r="D154" s="43"/>
      <c r="E154" s="43"/>
      <c r="F154" s="43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46"/>
      <c r="U154" s="46"/>
      <c r="V154" s="46"/>
      <c r="W154" s="46"/>
      <c r="X154" s="47"/>
      <c r="Y154" s="47"/>
      <c r="Z154" s="47"/>
      <c r="AA154" s="47"/>
      <c r="AB154" s="47"/>
    </row>
    <row r="155" spans="1:28" ht="15.75" customHeight="1">
      <c r="A155" s="18"/>
      <c r="B155" s="18"/>
      <c r="C155" s="18"/>
      <c r="D155" s="43"/>
      <c r="E155" s="43"/>
      <c r="F155" s="43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46"/>
      <c r="U155" s="46"/>
      <c r="V155" s="46"/>
      <c r="W155" s="46"/>
      <c r="X155" s="47"/>
      <c r="Y155" s="47"/>
      <c r="Z155" s="47"/>
      <c r="AA155" s="47"/>
      <c r="AB155" s="47"/>
    </row>
    <row r="156" spans="1:28" ht="15.75" customHeight="1">
      <c r="A156" s="18"/>
      <c r="B156" s="18"/>
      <c r="C156" s="18"/>
      <c r="D156" s="43"/>
      <c r="E156" s="43"/>
      <c r="F156" s="43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46"/>
      <c r="U156" s="46"/>
      <c r="V156" s="46"/>
      <c r="W156" s="46"/>
      <c r="X156" s="47"/>
      <c r="Y156" s="47"/>
      <c r="Z156" s="47"/>
      <c r="AA156" s="47"/>
      <c r="AB156" s="47"/>
    </row>
    <row r="157" spans="1:28" ht="15.75" customHeight="1">
      <c r="A157" s="18"/>
      <c r="B157" s="18"/>
      <c r="C157" s="18"/>
      <c r="D157" s="43"/>
      <c r="E157" s="43"/>
      <c r="F157" s="43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46"/>
      <c r="U157" s="46"/>
      <c r="V157" s="46"/>
      <c r="W157" s="46"/>
      <c r="X157" s="47"/>
      <c r="Y157" s="47"/>
      <c r="Z157" s="47"/>
      <c r="AA157" s="47"/>
      <c r="AB157" s="47"/>
    </row>
    <row r="158" spans="1:28" ht="15.75" customHeight="1">
      <c r="A158" s="18"/>
      <c r="B158" s="18"/>
      <c r="C158" s="18"/>
      <c r="D158" s="43"/>
      <c r="E158" s="43"/>
      <c r="F158" s="43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46"/>
      <c r="U158" s="46"/>
      <c r="V158" s="46"/>
      <c r="W158" s="46"/>
      <c r="X158" s="47"/>
      <c r="Y158" s="47"/>
      <c r="Z158" s="47"/>
      <c r="AA158" s="47"/>
      <c r="AB158" s="47"/>
    </row>
    <row r="159" spans="1:28" ht="15.75" customHeight="1">
      <c r="A159" s="18"/>
      <c r="B159" s="18"/>
      <c r="C159" s="18"/>
      <c r="D159" s="43"/>
      <c r="E159" s="43"/>
      <c r="F159" s="43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46"/>
      <c r="U159" s="46"/>
      <c r="V159" s="46"/>
      <c r="W159" s="46"/>
      <c r="X159" s="47"/>
      <c r="Y159" s="47"/>
      <c r="Z159" s="47"/>
      <c r="AA159" s="47"/>
      <c r="AB159" s="47"/>
    </row>
    <row r="160" spans="1:28" ht="15.75" customHeight="1">
      <c r="A160" s="18"/>
      <c r="B160" s="18"/>
      <c r="C160" s="18"/>
      <c r="D160" s="43"/>
      <c r="E160" s="43"/>
      <c r="F160" s="43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46"/>
      <c r="U160" s="46"/>
      <c r="V160" s="46"/>
      <c r="W160" s="46"/>
      <c r="X160" s="47"/>
      <c r="Y160" s="47"/>
      <c r="Z160" s="47"/>
      <c r="AA160" s="47"/>
      <c r="AB160" s="47"/>
    </row>
    <row r="161" spans="1:28" ht="15.75" customHeight="1">
      <c r="A161" s="18"/>
      <c r="B161" s="18"/>
      <c r="C161" s="18"/>
      <c r="D161" s="43"/>
      <c r="E161" s="43"/>
      <c r="F161" s="43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46"/>
      <c r="U161" s="46"/>
      <c r="V161" s="46"/>
      <c r="W161" s="46"/>
      <c r="X161" s="47"/>
      <c r="Y161" s="47"/>
      <c r="Z161" s="47"/>
      <c r="AA161" s="47"/>
      <c r="AB161" s="47"/>
    </row>
    <row r="162" spans="1:28" ht="15.75" customHeight="1">
      <c r="A162" s="18"/>
      <c r="B162" s="18"/>
      <c r="C162" s="18"/>
      <c r="D162" s="43"/>
      <c r="E162" s="43"/>
      <c r="F162" s="43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46"/>
      <c r="U162" s="46"/>
      <c r="V162" s="46"/>
      <c r="W162" s="46"/>
      <c r="X162" s="47"/>
      <c r="Y162" s="47"/>
      <c r="Z162" s="47"/>
      <c r="AA162" s="47"/>
      <c r="AB162" s="47"/>
    </row>
    <row r="163" spans="1:28" ht="15.75" customHeight="1">
      <c r="A163" s="18"/>
      <c r="B163" s="18"/>
      <c r="C163" s="18"/>
      <c r="D163" s="43"/>
      <c r="E163" s="43"/>
      <c r="F163" s="43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46"/>
      <c r="U163" s="46"/>
      <c r="V163" s="46"/>
      <c r="W163" s="46"/>
      <c r="X163" s="47"/>
      <c r="Y163" s="47"/>
      <c r="Z163" s="47"/>
      <c r="AA163" s="47"/>
      <c r="AB163" s="47"/>
    </row>
    <row r="164" spans="1:28" ht="15.75" customHeight="1">
      <c r="A164" s="18"/>
      <c r="B164" s="18"/>
      <c r="C164" s="18"/>
      <c r="D164" s="43"/>
      <c r="E164" s="43"/>
      <c r="F164" s="43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46"/>
      <c r="U164" s="46"/>
      <c r="V164" s="46"/>
      <c r="W164" s="46"/>
      <c r="X164" s="47"/>
      <c r="Y164" s="47"/>
      <c r="Z164" s="47"/>
      <c r="AA164" s="47"/>
      <c r="AB164" s="47"/>
    </row>
    <row r="165" spans="1:28" ht="15.75" customHeight="1">
      <c r="A165" s="18"/>
      <c r="B165" s="18"/>
      <c r="C165" s="18"/>
      <c r="D165" s="43"/>
      <c r="E165" s="43"/>
      <c r="F165" s="43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46"/>
      <c r="U165" s="46"/>
      <c r="V165" s="46"/>
      <c r="W165" s="46"/>
      <c r="X165" s="47"/>
      <c r="Y165" s="47"/>
      <c r="Z165" s="47"/>
      <c r="AA165" s="47"/>
      <c r="AB165" s="47"/>
    </row>
    <row r="166" spans="1:28" ht="15.75" customHeight="1">
      <c r="A166" s="18"/>
      <c r="B166" s="18"/>
      <c r="C166" s="18"/>
      <c r="D166" s="43"/>
      <c r="E166" s="43"/>
      <c r="F166" s="43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46"/>
      <c r="U166" s="46"/>
      <c r="V166" s="46"/>
      <c r="W166" s="46"/>
      <c r="X166" s="47"/>
      <c r="Y166" s="47"/>
      <c r="Z166" s="47"/>
      <c r="AA166" s="47"/>
      <c r="AB166" s="47"/>
    </row>
    <row r="167" spans="1:28" ht="15.75" customHeight="1">
      <c r="A167" s="18"/>
      <c r="B167" s="18"/>
      <c r="C167" s="18"/>
      <c r="D167" s="43"/>
      <c r="E167" s="43"/>
      <c r="F167" s="43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46"/>
      <c r="U167" s="46"/>
      <c r="V167" s="46"/>
      <c r="W167" s="46"/>
      <c r="X167" s="47"/>
      <c r="Y167" s="47"/>
      <c r="Z167" s="47"/>
      <c r="AA167" s="47"/>
      <c r="AB167" s="47"/>
    </row>
    <row r="168" spans="1:28" ht="15.75" customHeight="1">
      <c r="A168" s="18"/>
      <c r="B168" s="18"/>
      <c r="C168" s="18"/>
      <c r="D168" s="43"/>
      <c r="E168" s="43"/>
      <c r="F168" s="43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46"/>
      <c r="U168" s="46"/>
      <c r="V168" s="46"/>
      <c r="W168" s="46"/>
      <c r="X168" s="47"/>
      <c r="Y168" s="47"/>
      <c r="Z168" s="47"/>
      <c r="AA168" s="47"/>
      <c r="AB168" s="47"/>
    </row>
    <row r="169" spans="1:28" ht="15.75" customHeight="1">
      <c r="A169" s="18"/>
      <c r="B169" s="18"/>
      <c r="C169" s="18"/>
      <c r="D169" s="43"/>
      <c r="E169" s="43"/>
      <c r="F169" s="43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46"/>
      <c r="U169" s="46"/>
      <c r="V169" s="46"/>
      <c r="W169" s="46"/>
      <c r="X169" s="47"/>
      <c r="Y169" s="47"/>
      <c r="Z169" s="47"/>
      <c r="AA169" s="47"/>
      <c r="AB169" s="47"/>
    </row>
    <row r="170" spans="1:28" ht="15.75" customHeight="1">
      <c r="A170" s="18"/>
      <c r="B170" s="18"/>
      <c r="C170" s="18"/>
      <c r="D170" s="43"/>
      <c r="E170" s="43"/>
      <c r="F170" s="43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46"/>
      <c r="U170" s="46"/>
      <c r="V170" s="46"/>
      <c r="W170" s="46"/>
      <c r="X170" s="47"/>
      <c r="Y170" s="47"/>
      <c r="Z170" s="47"/>
      <c r="AA170" s="47"/>
      <c r="AB170" s="47"/>
    </row>
    <row r="171" spans="1:28" ht="15.75" customHeight="1">
      <c r="A171" s="18"/>
      <c r="B171" s="18"/>
      <c r="C171" s="18"/>
      <c r="D171" s="43"/>
      <c r="E171" s="43"/>
      <c r="F171" s="43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46"/>
      <c r="U171" s="46"/>
      <c r="V171" s="46"/>
      <c r="W171" s="46"/>
      <c r="X171" s="47"/>
      <c r="Y171" s="47"/>
      <c r="Z171" s="47"/>
      <c r="AA171" s="47"/>
      <c r="AB171" s="47"/>
    </row>
    <row r="172" spans="1:28" ht="15.75" customHeight="1">
      <c r="A172" s="18"/>
      <c r="B172" s="18"/>
      <c r="C172" s="18"/>
      <c r="D172" s="43"/>
      <c r="E172" s="43"/>
      <c r="F172" s="43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46"/>
      <c r="U172" s="46"/>
      <c r="V172" s="46"/>
      <c r="W172" s="46"/>
      <c r="X172" s="47"/>
      <c r="Y172" s="47"/>
      <c r="Z172" s="47"/>
      <c r="AA172" s="47"/>
      <c r="AB172" s="47"/>
    </row>
    <row r="173" spans="1:28" ht="15.75" customHeight="1">
      <c r="A173" s="18"/>
      <c r="B173" s="18"/>
      <c r="C173" s="18"/>
      <c r="D173" s="43"/>
      <c r="E173" s="43"/>
      <c r="F173" s="43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46"/>
      <c r="U173" s="46"/>
      <c r="V173" s="46"/>
      <c r="W173" s="46"/>
      <c r="X173" s="47"/>
      <c r="Y173" s="47"/>
      <c r="Z173" s="47"/>
      <c r="AA173" s="47"/>
      <c r="AB173" s="47"/>
    </row>
    <row r="174" spans="1:28" ht="15.75" customHeight="1">
      <c r="A174" s="18"/>
      <c r="B174" s="18"/>
      <c r="C174" s="18"/>
      <c r="D174" s="43"/>
      <c r="E174" s="43"/>
      <c r="F174" s="43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46"/>
      <c r="U174" s="46"/>
      <c r="V174" s="46"/>
      <c r="W174" s="46"/>
      <c r="X174" s="47"/>
      <c r="Y174" s="47"/>
      <c r="Z174" s="47"/>
      <c r="AA174" s="47"/>
      <c r="AB174" s="47"/>
    </row>
    <row r="175" spans="1:28" ht="15.75" customHeight="1">
      <c r="A175" s="18"/>
      <c r="B175" s="18"/>
      <c r="C175" s="18"/>
      <c r="D175" s="43"/>
      <c r="E175" s="43"/>
      <c r="F175" s="43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46"/>
      <c r="U175" s="46"/>
      <c r="V175" s="46"/>
      <c r="W175" s="46"/>
      <c r="X175" s="47"/>
      <c r="Y175" s="47"/>
      <c r="Z175" s="47"/>
      <c r="AA175" s="47"/>
      <c r="AB175" s="47"/>
    </row>
    <row r="176" spans="1:28" ht="15.75" customHeight="1">
      <c r="A176" s="18"/>
      <c r="B176" s="18"/>
      <c r="C176" s="18"/>
      <c r="D176" s="43"/>
      <c r="E176" s="43"/>
      <c r="F176" s="43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46"/>
      <c r="U176" s="46"/>
      <c r="V176" s="46"/>
      <c r="W176" s="46"/>
      <c r="X176" s="47"/>
      <c r="Y176" s="47"/>
      <c r="Z176" s="47"/>
      <c r="AA176" s="47"/>
      <c r="AB176" s="47"/>
    </row>
    <row r="177" spans="1:28" ht="15.75" customHeight="1">
      <c r="A177" s="18"/>
      <c r="B177" s="18"/>
      <c r="C177" s="18"/>
      <c r="D177" s="43"/>
      <c r="E177" s="43"/>
      <c r="F177" s="43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46"/>
      <c r="U177" s="46"/>
      <c r="V177" s="46"/>
      <c r="W177" s="46"/>
      <c r="X177" s="47"/>
      <c r="Y177" s="47"/>
      <c r="Z177" s="47"/>
      <c r="AA177" s="47"/>
      <c r="AB177" s="47"/>
    </row>
    <row r="178" spans="1:28" ht="15.75" customHeight="1">
      <c r="A178" s="18"/>
      <c r="B178" s="18"/>
      <c r="C178" s="18"/>
      <c r="D178" s="43"/>
      <c r="E178" s="43"/>
      <c r="F178" s="43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46"/>
      <c r="U178" s="46"/>
      <c r="V178" s="46"/>
      <c r="W178" s="46"/>
      <c r="X178" s="47"/>
      <c r="Y178" s="47"/>
      <c r="Z178" s="47"/>
      <c r="AA178" s="47"/>
      <c r="AB178" s="47"/>
    </row>
    <row r="179" spans="1:28" ht="15.75" customHeight="1">
      <c r="A179" s="18"/>
      <c r="B179" s="18"/>
      <c r="C179" s="18"/>
      <c r="D179" s="43"/>
      <c r="E179" s="43"/>
      <c r="F179" s="43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46"/>
      <c r="U179" s="46"/>
      <c r="V179" s="46"/>
      <c r="W179" s="46"/>
      <c r="X179" s="47"/>
      <c r="Y179" s="47"/>
      <c r="Z179" s="47"/>
      <c r="AA179" s="47"/>
      <c r="AB179" s="47"/>
    </row>
    <row r="180" spans="1:28" ht="15.75" customHeight="1">
      <c r="A180" s="18"/>
      <c r="B180" s="18"/>
      <c r="C180" s="18"/>
      <c r="D180" s="43"/>
      <c r="E180" s="43"/>
      <c r="F180" s="43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46"/>
      <c r="U180" s="46"/>
      <c r="V180" s="46"/>
      <c r="W180" s="46"/>
      <c r="X180" s="47"/>
      <c r="Y180" s="47"/>
      <c r="Z180" s="47"/>
      <c r="AA180" s="47"/>
      <c r="AB180" s="47"/>
    </row>
    <row r="181" spans="1:28" ht="15.75" customHeight="1">
      <c r="A181" s="18"/>
      <c r="B181" s="18"/>
      <c r="C181" s="18"/>
      <c r="D181" s="43"/>
      <c r="E181" s="43"/>
      <c r="F181" s="43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46"/>
      <c r="U181" s="46"/>
      <c r="V181" s="46"/>
      <c r="W181" s="46"/>
      <c r="X181" s="47"/>
      <c r="Y181" s="47"/>
      <c r="Z181" s="47"/>
      <c r="AA181" s="47"/>
      <c r="AB181" s="47"/>
    </row>
    <row r="182" spans="1:28" ht="15.75" customHeight="1">
      <c r="A182" s="18"/>
      <c r="B182" s="18"/>
      <c r="C182" s="18"/>
      <c r="D182" s="43"/>
      <c r="E182" s="43"/>
      <c r="F182" s="43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46"/>
      <c r="U182" s="46"/>
      <c r="V182" s="46"/>
      <c r="W182" s="46"/>
      <c r="X182" s="47"/>
      <c r="Y182" s="47"/>
      <c r="Z182" s="47"/>
      <c r="AA182" s="47"/>
      <c r="AB182" s="47"/>
    </row>
    <row r="183" spans="1:28" ht="15.75" customHeight="1">
      <c r="A183" s="18"/>
      <c r="B183" s="18"/>
      <c r="C183" s="18"/>
      <c r="D183" s="43"/>
      <c r="E183" s="43"/>
      <c r="F183" s="43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46"/>
      <c r="U183" s="46"/>
      <c r="V183" s="46"/>
      <c r="W183" s="46"/>
      <c r="X183" s="47"/>
      <c r="Y183" s="47"/>
      <c r="Z183" s="47"/>
      <c r="AA183" s="47"/>
      <c r="AB183" s="47"/>
    </row>
    <row r="184" spans="1:28" ht="15.75" customHeight="1">
      <c r="A184" s="18"/>
      <c r="B184" s="18"/>
      <c r="C184" s="18"/>
      <c r="D184" s="43"/>
      <c r="E184" s="43"/>
      <c r="F184" s="43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46"/>
      <c r="U184" s="46"/>
      <c r="V184" s="46"/>
      <c r="W184" s="46"/>
      <c r="X184" s="47"/>
      <c r="Y184" s="47"/>
      <c r="Z184" s="47"/>
      <c r="AA184" s="47"/>
      <c r="AB184" s="47"/>
    </row>
    <row r="185" spans="1:28" ht="15.75" customHeight="1">
      <c r="A185" s="18"/>
      <c r="B185" s="18"/>
      <c r="C185" s="18"/>
      <c r="D185" s="43"/>
      <c r="E185" s="43"/>
      <c r="F185" s="43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46"/>
      <c r="U185" s="46"/>
      <c r="V185" s="46"/>
      <c r="W185" s="46"/>
      <c r="X185" s="47"/>
      <c r="Y185" s="47"/>
      <c r="Z185" s="47"/>
      <c r="AA185" s="47"/>
      <c r="AB185" s="47"/>
    </row>
    <row r="186" spans="1:28" ht="15.75" customHeight="1">
      <c r="A186" s="18"/>
      <c r="B186" s="18"/>
      <c r="C186" s="18"/>
      <c r="D186" s="43"/>
      <c r="E186" s="43"/>
      <c r="F186" s="43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46"/>
      <c r="U186" s="46"/>
      <c r="V186" s="46"/>
      <c r="W186" s="46"/>
      <c r="X186" s="47"/>
      <c r="Y186" s="47"/>
      <c r="Z186" s="47"/>
      <c r="AA186" s="47"/>
      <c r="AB186" s="47"/>
    </row>
    <row r="187" spans="1:28" ht="15.75" customHeight="1">
      <c r="A187" s="18"/>
      <c r="B187" s="18"/>
      <c r="C187" s="18"/>
      <c r="D187" s="43"/>
      <c r="E187" s="43"/>
      <c r="F187" s="43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46"/>
      <c r="U187" s="46"/>
      <c r="V187" s="46"/>
      <c r="W187" s="46"/>
      <c r="X187" s="47"/>
      <c r="Y187" s="47"/>
      <c r="Z187" s="47"/>
      <c r="AA187" s="47"/>
      <c r="AB187" s="47"/>
    </row>
    <row r="188" spans="1:28" ht="15.75" customHeight="1">
      <c r="A188" s="18"/>
      <c r="B188" s="18"/>
      <c r="C188" s="18"/>
      <c r="D188" s="43"/>
      <c r="E188" s="43"/>
      <c r="F188" s="43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46"/>
      <c r="U188" s="46"/>
      <c r="V188" s="46"/>
      <c r="W188" s="46"/>
      <c r="X188" s="47"/>
      <c r="Y188" s="47"/>
      <c r="Z188" s="47"/>
      <c r="AA188" s="47"/>
      <c r="AB188" s="47"/>
    </row>
    <row r="189" spans="1:28" ht="15.75" customHeight="1">
      <c r="A189" s="18"/>
      <c r="B189" s="18"/>
      <c r="C189" s="18"/>
      <c r="D189" s="43"/>
      <c r="E189" s="43"/>
      <c r="F189" s="43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46"/>
      <c r="U189" s="46"/>
      <c r="V189" s="46"/>
      <c r="W189" s="46"/>
      <c r="X189" s="47"/>
      <c r="Y189" s="47"/>
      <c r="Z189" s="47"/>
      <c r="AA189" s="47"/>
      <c r="AB189" s="47"/>
    </row>
    <row r="190" spans="1:28" ht="15.75" customHeight="1">
      <c r="A190" s="18"/>
      <c r="B190" s="18"/>
      <c r="C190" s="18"/>
      <c r="D190" s="43"/>
      <c r="E190" s="43"/>
      <c r="F190" s="43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46"/>
      <c r="U190" s="46"/>
      <c r="V190" s="46"/>
      <c r="W190" s="46"/>
      <c r="X190" s="47"/>
      <c r="Y190" s="47"/>
      <c r="Z190" s="47"/>
      <c r="AA190" s="47"/>
      <c r="AB190" s="47"/>
    </row>
    <row r="191" spans="1:28" ht="15.75" customHeight="1">
      <c r="A191" s="18"/>
      <c r="B191" s="18"/>
      <c r="C191" s="18"/>
      <c r="D191" s="43"/>
      <c r="E191" s="43"/>
      <c r="F191" s="43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46"/>
      <c r="U191" s="46"/>
      <c r="V191" s="46"/>
      <c r="W191" s="46"/>
      <c r="X191" s="47"/>
      <c r="Y191" s="47"/>
      <c r="Z191" s="47"/>
      <c r="AA191" s="47"/>
      <c r="AB191" s="47"/>
    </row>
    <row r="192" spans="1:28" ht="15.75" customHeight="1">
      <c r="A192" s="18"/>
      <c r="B192" s="18"/>
      <c r="C192" s="18"/>
      <c r="D192" s="43"/>
      <c r="E192" s="43"/>
      <c r="F192" s="43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46"/>
      <c r="U192" s="46"/>
      <c r="V192" s="46"/>
      <c r="W192" s="46"/>
      <c r="X192" s="47"/>
      <c r="Y192" s="47"/>
      <c r="Z192" s="47"/>
      <c r="AA192" s="47"/>
      <c r="AB192" s="47"/>
    </row>
    <row r="193" spans="1:28" ht="15.75" customHeight="1">
      <c r="A193" s="18"/>
      <c r="B193" s="18"/>
      <c r="C193" s="18"/>
      <c r="D193" s="43"/>
      <c r="E193" s="43"/>
      <c r="F193" s="43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46"/>
      <c r="U193" s="46"/>
      <c r="V193" s="46"/>
      <c r="W193" s="46"/>
      <c r="X193" s="47"/>
      <c r="Y193" s="47"/>
      <c r="Z193" s="47"/>
      <c r="AA193" s="47"/>
      <c r="AB193" s="47"/>
    </row>
    <row r="194" spans="1:28" ht="15.75" customHeight="1">
      <c r="A194" s="18"/>
      <c r="B194" s="18"/>
      <c r="C194" s="18"/>
      <c r="D194" s="43"/>
      <c r="E194" s="43"/>
      <c r="F194" s="43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46"/>
      <c r="U194" s="46"/>
      <c r="V194" s="46"/>
      <c r="W194" s="46"/>
      <c r="X194" s="47"/>
      <c r="Y194" s="47"/>
      <c r="Z194" s="47"/>
      <c r="AA194" s="47"/>
      <c r="AB194" s="47"/>
    </row>
    <row r="195" spans="1:28" ht="15.75" customHeight="1">
      <c r="A195" s="18"/>
      <c r="B195" s="18"/>
      <c r="C195" s="18"/>
      <c r="D195" s="43"/>
      <c r="E195" s="43"/>
      <c r="F195" s="43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46"/>
      <c r="U195" s="46"/>
      <c r="V195" s="46"/>
      <c r="W195" s="46"/>
      <c r="X195" s="47"/>
      <c r="Y195" s="47"/>
      <c r="Z195" s="47"/>
      <c r="AA195" s="47"/>
      <c r="AB195" s="47"/>
    </row>
    <row r="196" spans="1:28" ht="15.75" customHeight="1">
      <c r="A196" s="18"/>
      <c r="B196" s="18"/>
      <c r="C196" s="18"/>
      <c r="D196" s="43"/>
      <c r="E196" s="43"/>
      <c r="F196" s="43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46"/>
      <c r="U196" s="46"/>
      <c r="V196" s="46"/>
      <c r="W196" s="46"/>
      <c r="X196" s="47"/>
      <c r="Y196" s="47"/>
      <c r="Z196" s="47"/>
      <c r="AA196" s="47"/>
      <c r="AB196" s="47"/>
    </row>
    <row r="197" spans="1:28" ht="15.75" customHeight="1">
      <c r="A197" s="18"/>
      <c r="B197" s="18"/>
      <c r="C197" s="18"/>
      <c r="D197" s="43"/>
      <c r="E197" s="43"/>
      <c r="F197" s="43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46"/>
      <c r="U197" s="46"/>
      <c r="V197" s="46"/>
      <c r="W197" s="46"/>
      <c r="X197" s="47"/>
      <c r="Y197" s="47"/>
      <c r="Z197" s="47"/>
      <c r="AA197" s="47"/>
      <c r="AB197" s="47"/>
    </row>
    <row r="198" spans="1:28" ht="15.75" customHeight="1">
      <c r="A198" s="18"/>
      <c r="B198" s="18"/>
      <c r="C198" s="18"/>
      <c r="D198" s="43"/>
      <c r="E198" s="43"/>
      <c r="F198" s="43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46"/>
      <c r="U198" s="46"/>
      <c r="V198" s="46"/>
      <c r="W198" s="46"/>
      <c r="X198" s="47"/>
      <c r="Y198" s="47"/>
      <c r="Z198" s="47"/>
      <c r="AA198" s="47"/>
      <c r="AB198" s="47"/>
    </row>
    <row r="199" spans="1:28" ht="15.75" customHeight="1">
      <c r="A199" s="18"/>
      <c r="B199" s="18"/>
      <c r="C199" s="18"/>
      <c r="D199" s="43"/>
      <c r="E199" s="43"/>
      <c r="F199" s="43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46"/>
      <c r="U199" s="46"/>
      <c r="V199" s="46"/>
      <c r="W199" s="46"/>
      <c r="X199" s="47"/>
      <c r="Y199" s="47"/>
      <c r="Z199" s="47"/>
      <c r="AA199" s="47"/>
      <c r="AB199" s="47"/>
    </row>
    <row r="200" spans="1:28" ht="15.75" customHeight="1">
      <c r="A200" s="18"/>
      <c r="B200" s="18"/>
      <c r="C200" s="18"/>
      <c r="D200" s="43"/>
      <c r="E200" s="43"/>
      <c r="F200" s="43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46"/>
      <c r="U200" s="46"/>
      <c r="V200" s="46"/>
      <c r="W200" s="46"/>
      <c r="X200" s="47"/>
      <c r="Y200" s="47"/>
      <c r="Z200" s="47"/>
      <c r="AA200" s="47"/>
      <c r="AB200" s="47"/>
    </row>
    <row r="201" spans="1:28" ht="15.75" customHeight="1">
      <c r="A201" s="18"/>
      <c r="B201" s="18"/>
      <c r="C201" s="18"/>
      <c r="D201" s="43"/>
      <c r="E201" s="43"/>
      <c r="F201" s="43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46"/>
      <c r="U201" s="46"/>
      <c r="V201" s="46"/>
      <c r="W201" s="46"/>
      <c r="X201" s="47"/>
      <c r="Y201" s="47"/>
      <c r="Z201" s="47"/>
      <c r="AA201" s="47"/>
      <c r="AB201" s="47"/>
    </row>
    <row r="202" spans="1:28" ht="15.75" customHeight="1">
      <c r="A202" s="18"/>
      <c r="B202" s="18"/>
      <c r="C202" s="18"/>
      <c r="D202" s="43"/>
      <c r="E202" s="43"/>
      <c r="F202" s="43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46"/>
      <c r="U202" s="46"/>
      <c r="V202" s="46"/>
      <c r="W202" s="46"/>
      <c r="X202" s="47"/>
      <c r="Y202" s="47"/>
      <c r="Z202" s="47"/>
      <c r="AA202" s="47"/>
      <c r="AB202" s="47"/>
    </row>
    <row r="203" spans="1:28" ht="15.75" customHeight="1">
      <c r="A203" s="18"/>
      <c r="B203" s="18"/>
      <c r="C203" s="18"/>
      <c r="D203" s="43"/>
      <c r="E203" s="43"/>
      <c r="F203" s="43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46"/>
      <c r="U203" s="46"/>
      <c r="V203" s="46"/>
      <c r="W203" s="46"/>
      <c r="X203" s="47"/>
      <c r="Y203" s="47"/>
      <c r="Z203" s="47"/>
      <c r="AA203" s="47"/>
      <c r="AB203" s="47"/>
    </row>
    <row r="204" spans="1:28" ht="15.75" customHeight="1">
      <c r="A204" s="18"/>
      <c r="B204" s="18"/>
      <c r="C204" s="18"/>
      <c r="D204" s="43"/>
      <c r="E204" s="43"/>
      <c r="F204" s="43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46"/>
      <c r="U204" s="46"/>
      <c r="V204" s="46"/>
      <c r="W204" s="46"/>
      <c r="X204" s="47"/>
      <c r="Y204" s="47"/>
      <c r="Z204" s="47"/>
      <c r="AA204" s="47"/>
      <c r="AB204" s="47"/>
    </row>
    <row r="205" spans="1:28" ht="15.75" customHeight="1">
      <c r="A205" s="18"/>
      <c r="B205" s="18"/>
      <c r="C205" s="18"/>
      <c r="D205" s="43"/>
      <c r="E205" s="43"/>
      <c r="F205" s="43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46"/>
      <c r="U205" s="46"/>
      <c r="V205" s="46"/>
      <c r="W205" s="46"/>
      <c r="X205" s="47"/>
      <c r="Y205" s="47"/>
      <c r="Z205" s="47"/>
      <c r="AA205" s="47"/>
      <c r="AB205" s="47"/>
    </row>
    <row r="206" spans="1:28" ht="15.75" customHeight="1">
      <c r="A206" s="18"/>
      <c r="B206" s="18"/>
      <c r="C206" s="18"/>
      <c r="D206" s="43"/>
      <c r="E206" s="43"/>
      <c r="F206" s="43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46"/>
      <c r="U206" s="46"/>
      <c r="V206" s="46"/>
      <c r="W206" s="46"/>
      <c r="X206" s="47"/>
      <c r="Y206" s="47"/>
      <c r="Z206" s="47"/>
      <c r="AA206" s="47"/>
      <c r="AB206" s="47"/>
    </row>
    <row r="207" spans="1:28" ht="15.75" customHeight="1">
      <c r="A207" s="18"/>
      <c r="B207" s="18"/>
      <c r="C207" s="18"/>
      <c r="D207" s="43"/>
      <c r="E207" s="43"/>
      <c r="F207" s="43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46"/>
      <c r="U207" s="46"/>
      <c r="V207" s="46"/>
      <c r="W207" s="46"/>
      <c r="X207" s="47"/>
      <c r="Y207" s="47"/>
      <c r="Z207" s="47"/>
      <c r="AA207" s="47"/>
      <c r="AB207" s="47"/>
    </row>
    <row r="208" spans="1:28" ht="15.75" customHeight="1">
      <c r="A208" s="18"/>
      <c r="B208" s="18"/>
      <c r="C208" s="18"/>
      <c r="D208" s="43"/>
      <c r="E208" s="43"/>
      <c r="F208" s="43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46"/>
      <c r="U208" s="46"/>
      <c r="V208" s="46"/>
      <c r="W208" s="46"/>
      <c r="X208" s="47"/>
      <c r="Y208" s="47"/>
      <c r="Z208" s="47"/>
      <c r="AA208" s="47"/>
      <c r="AB208" s="47"/>
    </row>
    <row r="209" spans="1:28" ht="15.75" customHeight="1">
      <c r="A209" s="18"/>
      <c r="B209" s="18"/>
      <c r="C209" s="18"/>
      <c r="D209" s="43"/>
      <c r="E209" s="43"/>
      <c r="F209" s="43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46"/>
      <c r="U209" s="46"/>
      <c r="V209" s="46"/>
      <c r="W209" s="46"/>
      <c r="X209" s="47"/>
      <c r="Y209" s="47"/>
      <c r="Z209" s="47"/>
      <c r="AA209" s="47"/>
      <c r="AB209" s="47"/>
    </row>
    <row r="210" spans="1:28" ht="15.75" customHeight="1">
      <c r="A210" s="18"/>
      <c r="B210" s="18"/>
      <c r="C210" s="18"/>
      <c r="D210" s="43"/>
      <c r="E210" s="43"/>
      <c r="F210" s="43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46"/>
      <c r="U210" s="46"/>
      <c r="V210" s="46"/>
      <c r="W210" s="46"/>
      <c r="X210" s="47"/>
      <c r="Y210" s="47"/>
      <c r="Z210" s="47"/>
      <c r="AA210" s="47"/>
      <c r="AB210" s="47"/>
    </row>
    <row r="211" spans="1:28" ht="15.75" customHeight="1">
      <c r="A211" s="18"/>
      <c r="B211" s="18"/>
      <c r="C211" s="18"/>
      <c r="D211" s="43"/>
      <c r="E211" s="43"/>
      <c r="F211" s="43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46"/>
      <c r="U211" s="46"/>
      <c r="V211" s="46"/>
      <c r="W211" s="46"/>
      <c r="X211" s="47"/>
      <c r="Y211" s="47"/>
      <c r="Z211" s="47"/>
      <c r="AA211" s="47"/>
      <c r="AB211" s="47"/>
    </row>
    <row r="212" spans="1:28" ht="15.75" customHeight="1">
      <c r="A212" s="18"/>
      <c r="B212" s="18"/>
      <c r="C212" s="18"/>
      <c r="D212" s="43"/>
      <c r="E212" s="43"/>
      <c r="F212" s="43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46"/>
      <c r="U212" s="46"/>
      <c r="V212" s="46"/>
      <c r="W212" s="46"/>
      <c r="X212" s="47"/>
      <c r="Y212" s="47"/>
      <c r="Z212" s="47"/>
      <c r="AA212" s="47"/>
      <c r="AB212" s="47"/>
    </row>
    <row r="213" spans="1:28" ht="15.75" customHeight="1">
      <c r="A213" s="18"/>
      <c r="B213" s="18"/>
      <c r="C213" s="18"/>
      <c r="D213" s="43"/>
      <c r="E213" s="43"/>
      <c r="F213" s="43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46"/>
      <c r="U213" s="46"/>
      <c r="V213" s="46"/>
      <c r="W213" s="46"/>
      <c r="X213" s="47"/>
      <c r="Y213" s="47"/>
      <c r="Z213" s="47"/>
      <c r="AA213" s="47"/>
      <c r="AB213" s="47"/>
    </row>
    <row r="214" spans="1:28" ht="15.75" customHeight="1">
      <c r="A214" s="18"/>
      <c r="B214" s="18"/>
      <c r="C214" s="18"/>
      <c r="D214" s="43"/>
      <c r="E214" s="43"/>
      <c r="F214" s="43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46"/>
      <c r="U214" s="46"/>
      <c r="V214" s="46"/>
      <c r="W214" s="46"/>
      <c r="X214" s="47"/>
      <c r="Y214" s="47"/>
      <c r="Z214" s="47"/>
      <c r="AA214" s="47"/>
      <c r="AB214" s="47"/>
    </row>
    <row r="215" spans="1:28" ht="15.75" customHeight="1">
      <c r="A215" s="18"/>
      <c r="B215" s="18"/>
      <c r="C215" s="18"/>
      <c r="D215" s="43"/>
      <c r="E215" s="43"/>
      <c r="F215" s="43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46"/>
      <c r="U215" s="46"/>
      <c r="V215" s="46"/>
      <c r="W215" s="46"/>
      <c r="X215" s="47"/>
      <c r="Y215" s="47"/>
      <c r="Z215" s="47"/>
      <c r="AA215" s="47"/>
      <c r="AB215" s="47"/>
    </row>
    <row r="216" spans="1:28" ht="15.75" customHeight="1">
      <c r="A216" s="18"/>
      <c r="B216" s="18"/>
      <c r="C216" s="18"/>
      <c r="D216" s="43"/>
      <c r="E216" s="43"/>
      <c r="F216" s="43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46"/>
      <c r="U216" s="46"/>
      <c r="V216" s="46"/>
      <c r="W216" s="46"/>
      <c r="X216" s="47"/>
      <c r="Y216" s="47"/>
      <c r="Z216" s="47"/>
      <c r="AA216" s="47"/>
      <c r="AB216" s="47"/>
    </row>
    <row r="217" spans="1:28" ht="15.75" customHeight="1">
      <c r="A217" s="18"/>
      <c r="B217" s="18"/>
      <c r="C217" s="18"/>
      <c r="D217" s="43"/>
      <c r="E217" s="43"/>
      <c r="F217" s="43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46"/>
      <c r="U217" s="46"/>
      <c r="V217" s="46"/>
      <c r="W217" s="46"/>
      <c r="X217" s="47"/>
      <c r="Y217" s="47"/>
      <c r="Z217" s="47"/>
      <c r="AA217" s="47"/>
      <c r="AB217" s="47"/>
    </row>
    <row r="218" spans="1:28" ht="15.75" customHeight="1">
      <c r="A218" s="18"/>
      <c r="B218" s="18"/>
      <c r="C218" s="18"/>
      <c r="D218" s="43"/>
      <c r="E218" s="43"/>
      <c r="F218" s="43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46"/>
      <c r="U218" s="46"/>
      <c r="V218" s="46"/>
      <c r="W218" s="46"/>
      <c r="X218" s="47"/>
      <c r="Y218" s="47"/>
      <c r="Z218" s="47"/>
      <c r="AA218" s="47"/>
      <c r="AB218" s="47"/>
    </row>
    <row r="219" spans="1:28" ht="15.75" customHeight="1">
      <c r="A219" s="18"/>
      <c r="B219" s="18"/>
      <c r="C219" s="18"/>
      <c r="D219" s="43"/>
      <c r="E219" s="43"/>
      <c r="F219" s="43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46"/>
      <c r="U219" s="46"/>
      <c r="V219" s="46"/>
      <c r="W219" s="46"/>
      <c r="X219" s="47"/>
      <c r="Y219" s="47"/>
      <c r="Z219" s="47"/>
      <c r="AA219" s="47"/>
      <c r="AB219" s="47"/>
    </row>
    <row r="220" spans="1:28" ht="15.75" customHeight="1">
      <c r="A220" s="18"/>
      <c r="B220" s="18"/>
      <c r="C220" s="18"/>
      <c r="D220" s="43"/>
      <c r="E220" s="43"/>
      <c r="F220" s="43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46"/>
      <c r="U220" s="46"/>
      <c r="V220" s="46"/>
      <c r="W220" s="46"/>
      <c r="X220" s="47"/>
      <c r="Y220" s="47"/>
      <c r="Z220" s="47"/>
      <c r="AA220" s="47"/>
      <c r="AB220" s="47"/>
    </row>
    <row r="221" spans="1:28" ht="15.75" customHeight="1">
      <c r="A221" s="18"/>
      <c r="B221" s="18"/>
      <c r="C221" s="18"/>
      <c r="D221" s="43"/>
      <c r="E221" s="43"/>
      <c r="F221" s="43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46"/>
      <c r="U221" s="46"/>
      <c r="V221" s="46"/>
      <c r="W221" s="46"/>
      <c r="X221" s="47"/>
      <c r="Y221" s="47"/>
      <c r="Z221" s="47"/>
      <c r="AA221" s="47"/>
      <c r="AB221" s="47"/>
    </row>
    <row r="222" spans="1:28" ht="15.75" customHeight="1">
      <c r="A222" s="18"/>
      <c r="B222" s="18"/>
      <c r="C222" s="18"/>
      <c r="D222" s="43"/>
      <c r="E222" s="43"/>
      <c r="F222" s="43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46"/>
      <c r="U222" s="46"/>
      <c r="V222" s="46"/>
      <c r="W222" s="46"/>
      <c r="X222" s="47"/>
      <c r="Y222" s="47"/>
      <c r="Z222" s="47"/>
      <c r="AA222" s="47"/>
      <c r="AB222" s="47"/>
    </row>
    <row r="223" spans="1:28" ht="15.75" customHeight="1">
      <c r="A223" s="18"/>
      <c r="B223" s="18"/>
      <c r="C223" s="18"/>
      <c r="D223" s="43"/>
      <c r="E223" s="43"/>
      <c r="F223" s="43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46"/>
      <c r="U223" s="46"/>
      <c r="V223" s="46"/>
      <c r="W223" s="46"/>
      <c r="X223" s="47"/>
      <c r="Y223" s="47"/>
      <c r="Z223" s="47"/>
      <c r="AA223" s="47"/>
      <c r="AB223" s="47"/>
    </row>
    <row r="224" spans="1:28" ht="15.75" customHeight="1">
      <c r="A224" s="18"/>
      <c r="B224" s="18"/>
      <c r="C224" s="18"/>
      <c r="D224" s="43"/>
      <c r="E224" s="43"/>
      <c r="F224" s="43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46"/>
      <c r="U224" s="46"/>
      <c r="V224" s="46"/>
      <c r="W224" s="46"/>
      <c r="X224" s="47"/>
      <c r="Y224" s="47"/>
      <c r="Z224" s="47"/>
      <c r="AA224" s="47"/>
      <c r="AB224" s="47"/>
    </row>
    <row r="225" spans="1:28" ht="15.75" customHeight="1">
      <c r="A225" s="18"/>
      <c r="B225" s="18"/>
      <c r="C225" s="18"/>
      <c r="D225" s="43"/>
      <c r="E225" s="43"/>
      <c r="F225" s="43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46"/>
      <c r="U225" s="46"/>
      <c r="V225" s="46"/>
      <c r="W225" s="46"/>
      <c r="X225" s="47"/>
      <c r="Y225" s="47"/>
      <c r="Z225" s="47"/>
      <c r="AA225" s="47"/>
      <c r="AB225" s="47"/>
    </row>
    <row r="226" spans="1:28" ht="15.75" customHeight="1">
      <c r="A226" s="18"/>
      <c r="B226" s="18"/>
      <c r="C226" s="18"/>
      <c r="D226" s="43"/>
      <c r="E226" s="43"/>
      <c r="F226" s="43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46"/>
      <c r="U226" s="46"/>
      <c r="V226" s="46"/>
      <c r="W226" s="46"/>
      <c r="X226" s="47"/>
      <c r="Y226" s="47"/>
      <c r="Z226" s="47"/>
      <c r="AA226" s="47"/>
      <c r="AB226" s="47"/>
    </row>
    <row r="227" spans="1:28" ht="15.75" customHeight="1">
      <c r="A227" s="18"/>
      <c r="B227" s="18"/>
      <c r="C227" s="18"/>
      <c r="D227" s="43"/>
      <c r="E227" s="43"/>
      <c r="F227" s="43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46"/>
      <c r="U227" s="46"/>
      <c r="V227" s="46"/>
      <c r="W227" s="46"/>
      <c r="X227" s="47"/>
      <c r="Y227" s="47"/>
      <c r="Z227" s="47"/>
      <c r="AA227" s="47"/>
      <c r="AB227" s="47"/>
    </row>
    <row r="228" spans="1:28" ht="15.75" customHeight="1">
      <c r="A228" s="18"/>
      <c r="B228" s="18"/>
      <c r="C228" s="18"/>
      <c r="D228" s="43"/>
      <c r="E228" s="43"/>
      <c r="F228" s="43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46"/>
      <c r="U228" s="46"/>
      <c r="V228" s="46"/>
      <c r="W228" s="46"/>
      <c r="X228" s="47"/>
      <c r="Y228" s="47"/>
      <c r="Z228" s="47"/>
      <c r="AA228" s="47"/>
      <c r="AB228" s="47"/>
    </row>
    <row r="229" spans="1:28" ht="15.75" customHeight="1">
      <c r="A229" s="18"/>
      <c r="B229" s="18"/>
      <c r="C229" s="18"/>
      <c r="D229" s="43"/>
      <c r="E229" s="43"/>
      <c r="F229" s="43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46"/>
      <c r="U229" s="46"/>
      <c r="V229" s="46"/>
      <c r="W229" s="46"/>
      <c r="X229" s="47"/>
      <c r="Y229" s="47"/>
      <c r="Z229" s="47"/>
      <c r="AA229" s="47"/>
      <c r="AB229" s="47"/>
    </row>
    <row r="230" spans="1:28" ht="15.75" customHeight="1">
      <c r="A230" s="18"/>
      <c r="B230" s="18"/>
      <c r="C230" s="18"/>
      <c r="D230" s="43"/>
      <c r="E230" s="43"/>
      <c r="F230" s="43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46"/>
      <c r="U230" s="46"/>
      <c r="V230" s="46"/>
      <c r="W230" s="46"/>
      <c r="X230" s="47"/>
      <c r="Y230" s="47"/>
      <c r="Z230" s="47"/>
      <c r="AA230" s="47"/>
      <c r="AB230" s="47"/>
    </row>
    <row r="231" spans="1:28" ht="15.75" customHeight="1">
      <c r="A231" s="18"/>
      <c r="B231" s="18"/>
      <c r="C231" s="18"/>
      <c r="D231" s="43"/>
      <c r="E231" s="43"/>
      <c r="F231" s="43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46"/>
      <c r="U231" s="46"/>
      <c r="V231" s="46"/>
      <c r="W231" s="46"/>
      <c r="X231" s="47"/>
      <c r="Y231" s="47"/>
      <c r="Z231" s="47"/>
      <c r="AA231" s="47"/>
      <c r="AB231" s="47"/>
    </row>
    <row r="232" spans="1:28" ht="15.75" customHeight="1">
      <c r="A232" s="18"/>
      <c r="B232" s="18"/>
      <c r="C232" s="18"/>
      <c r="D232" s="43"/>
      <c r="E232" s="43"/>
      <c r="F232" s="43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46"/>
      <c r="U232" s="46"/>
      <c r="V232" s="46"/>
      <c r="W232" s="46"/>
      <c r="X232" s="47"/>
      <c r="Y232" s="47"/>
      <c r="Z232" s="47"/>
      <c r="AA232" s="47"/>
      <c r="AB232" s="47"/>
    </row>
    <row r="233" spans="1:28" ht="15.75" customHeight="1">
      <c r="A233" s="18"/>
      <c r="B233" s="18"/>
      <c r="C233" s="18"/>
      <c r="D233" s="43"/>
      <c r="E233" s="43"/>
      <c r="F233" s="43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46"/>
      <c r="U233" s="46"/>
      <c r="V233" s="46"/>
      <c r="W233" s="46"/>
      <c r="X233" s="47"/>
      <c r="Y233" s="47"/>
      <c r="Z233" s="47"/>
      <c r="AA233" s="47"/>
      <c r="AB233" s="47"/>
    </row>
    <row r="234" spans="1:28" ht="15.75" customHeight="1">
      <c r="A234" s="18"/>
      <c r="B234" s="18"/>
      <c r="C234" s="18"/>
      <c r="D234" s="43"/>
      <c r="E234" s="43"/>
      <c r="F234" s="43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46"/>
      <c r="U234" s="46"/>
      <c r="V234" s="46"/>
      <c r="W234" s="46"/>
      <c r="X234" s="47"/>
      <c r="Y234" s="47"/>
      <c r="Z234" s="47"/>
      <c r="AA234" s="47"/>
      <c r="AB234" s="47"/>
    </row>
    <row r="235" spans="1:28" ht="15.75" customHeight="1">
      <c r="A235" s="18"/>
      <c r="B235" s="18"/>
      <c r="C235" s="18"/>
      <c r="D235" s="43"/>
      <c r="E235" s="43"/>
      <c r="F235" s="43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46"/>
      <c r="U235" s="46"/>
      <c r="V235" s="46"/>
      <c r="W235" s="46"/>
      <c r="X235" s="47"/>
      <c r="Y235" s="47"/>
      <c r="Z235" s="47"/>
      <c r="AA235" s="47"/>
      <c r="AB235" s="47"/>
    </row>
    <row r="236" spans="1:28" ht="15.75" customHeight="1">
      <c r="A236" s="18"/>
      <c r="B236" s="18"/>
      <c r="C236" s="18"/>
      <c r="D236" s="43"/>
      <c r="E236" s="43"/>
      <c r="F236" s="43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46"/>
      <c r="U236" s="46"/>
      <c r="V236" s="46"/>
      <c r="W236" s="46"/>
      <c r="X236" s="47"/>
      <c r="Y236" s="47"/>
      <c r="Z236" s="47"/>
      <c r="AA236" s="47"/>
      <c r="AB236" s="47"/>
    </row>
    <row r="237" spans="1:28" ht="15.75" customHeight="1">
      <c r="A237" s="18"/>
      <c r="B237" s="18"/>
      <c r="C237" s="18"/>
      <c r="D237" s="43"/>
      <c r="E237" s="43"/>
      <c r="F237" s="43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46"/>
      <c r="U237" s="46"/>
      <c r="V237" s="46"/>
      <c r="W237" s="46"/>
      <c r="X237" s="47"/>
      <c r="Y237" s="47"/>
      <c r="Z237" s="47"/>
      <c r="AA237" s="47"/>
      <c r="AB237" s="47"/>
    </row>
    <row r="238" spans="1:28" ht="15.75" customHeight="1">
      <c r="A238" s="18"/>
      <c r="B238" s="18"/>
      <c r="C238" s="18"/>
      <c r="D238" s="43"/>
      <c r="E238" s="43"/>
      <c r="F238" s="43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46"/>
      <c r="U238" s="46"/>
      <c r="V238" s="46"/>
      <c r="W238" s="46"/>
      <c r="X238" s="47"/>
      <c r="Y238" s="47"/>
      <c r="Z238" s="47"/>
      <c r="AA238" s="47"/>
      <c r="AB238" s="47"/>
    </row>
    <row r="239" spans="1:28" ht="15.75" customHeight="1">
      <c r="A239" s="18"/>
      <c r="B239" s="18"/>
      <c r="C239" s="18"/>
      <c r="D239" s="43"/>
      <c r="E239" s="43"/>
      <c r="F239" s="43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46"/>
      <c r="U239" s="46"/>
      <c r="V239" s="46"/>
      <c r="W239" s="46"/>
      <c r="X239" s="47"/>
      <c r="Y239" s="47"/>
      <c r="Z239" s="47"/>
      <c r="AA239" s="47"/>
      <c r="AB239" s="47"/>
    </row>
    <row r="240" spans="1:28" ht="15.75" customHeight="1">
      <c r="A240" s="18"/>
      <c r="B240" s="18"/>
      <c r="C240" s="18"/>
      <c r="D240" s="43"/>
      <c r="E240" s="43"/>
      <c r="F240" s="43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46"/>
      <c r="U240" s="46"/>
      <c r="V240" s="46"/>
      <c r="W240" s="46"/>
      <c r="X240" s="47"/>
      <c r="Y240" s="47"/>
      <c r="Z240" s="47"/>
      <c r="AA240" s="47"/>
      <c r="AB240" s="47"/>
    </row>
    <row r="241" spans="1:28" ht="15.75" customHeight="1">
      <c r="A241" s="18"/>
      <c r="B241" s="18"/>
      <c r="C241" s="18"/>
      <c r="D241" s="43"/>
      <c r="E241" s="43"/>
      <c r="F241" s="43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46"/>
      <c r="U241" s="46"/>
      <c r="V241" s="46"/>
      <c r="W241" s="46"/>
      <c r="X241" s="47"/>
      <c r="Y241" s="47"/>
      <c r="Z241" s="47"/>
      <c r="AA241" s="47"/>
      <c r="AB241" s="47"/>
    </row>
    <row r="242" spans="1:28" ht="15.75" customHeight="1">
      <c r="A242" s="18"/>
      <c r="B242" s="18"/>
      <c r="C242" s="18"/>
      <c r="D242" s="43"/>
      <c r="E242" s="43"/>
      <c r="F242" s="43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46"/>
      <c r="U242" s="46"/>
      <c r="V242" s="46"/>
      <c r="W242" s="46"/>
      <c r="X242" s="47"/>
      <c r="Y242" s="47"/>
      <c r="Z242" s="47"/>
      <c r="AA242" s="47"/>
      <c r="AB242" s="47"/>
    </row>
    <row r="243" spans="1:28" ht="15.75" customHeight="1">
      <c r="A243" s="18"/>
      <c r="B243" s="18"/>
      <c r="C243" s="18"/>
      <c r="D243" s="43"/>
      <c r="E243" s="43"/>
      <c r="F243" s="43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46"/>
      <c r="U243" s="46"/>
      <c r="V243" s="46"/>
      <c r="W243" s="46"/>
      <c r="X243" s="47"/>
      <c r="Y243" s="47"/>
      <c r="Z243" s="47"/>
      <c r="AA243" s="47"/>
      <c r="AB243" s="47"/>
    </row>
    <row r="244" spans="1:28" ht="15.75" customHeight="1">
      <c r="A244" s="18"/>
      <c r="B244" s="18"/>
      <c r="C244" s="18"/>
      <c r="D244" s="43"/>
      <c r="E244" s="43"/>
      <c r="F244" s="43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46"/>
      <c r="U244" s="46"/>
      <c r="V244" s="46"/>
      <c r="W244" s="46"/>
      <c r="X244" s="47"/>
      <c r="Y244" s="47"/>
      <c r="Z244" s="47"/>
      <c r="AA244" s="47"/>
      <c r="AB244" s="47"/>
    </row>
    <row r="245" spans="1:28" ht="15.75" customHeight="1">
      <c r="A245" s="18"/>
      <c r="B245" s="18"/>
      <c r="C245" s="18"/>
      <c r="D245" s="43"/>
      <c r="E245" s="43"/>
      <c r="F245" s="43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46"/>
      <c r="U245" s="46"/>
      <c r="V245" s="46"/>
      <c r="W245" s="46"/>
      <c r="X245" s="47"/>
      <c r="Y245" s="47"/>
      <c r="Z245" s="47"/>
      <c r="AA245" s="47"/>
      <c r="AB245" s="47"/>
    </row>
    <row r="246" spans="1:28" ht="15.75" customHeight="1">
      <c r="A246" s="18"/>
      <c r="B246" s="18"/>
      <c r="C246" s="18"/>
      <c r="D246" s="43"/>
      <c r="E246" s="43"/>
      <c r="F246" s="43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46"/>
      <c r="U246" s="46"/>
      <c r="V246" s="46"/>
      <c r="W246" s="46"/>
      <c r="X246" s="47"/>
      <c r="Y246" s="47"/>
      <c r="Z246" s="47"/>
      <c r="AA246" s="47"/>
      <c r="AB246" s="47"/>
    </row>
    <row r="247" spans="1:28" ht="15.75" customHeight="1">
      <c r="A247" s="18"/>
      <c r="B247" s="18"/>
      <c r="C247" s="18"/>
      <c r="D247" s="43"/>
      <c r="E247" s="43"/>
      <c r="F247" s="43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46"/>
      <c r="U247" s="46"/>
      <c r="V247" s="46"/>
      <c r="W247" s="46"/>
      <c r="X247" s="47"/>
      <c r="Y247" s="47"/>
      <c r="Z247" s="47"/>
      <c r="AA247" s="47"/>
      <c r="AB247" s="47"/>
    </row>
    <row r="248" spans="1:28" ht="15.75" customHeight="1">
      <c r="A248" s="18"/>
      <c r="B248" s="18"/>
      <c r="C248" s="18"/>
      <c r="D248" s="43"/>
      <c r="E248" s="43"/>
      <c r="F248" s="43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46"/>
      <c r="U248" s="46"/>
      <c r="V248" s="46"/>
      <c r="W248" s="46"/>
      <c r="X248" s="47"/>
      <c r="Y248" s="47"/>
      <c r="Z248" s="47"/>
      <c r="AA248" s="47"/>
      <c r="AB248" s="47"/>
    </row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:I1"/>
    <mergeCell ref="A3:A5"/>
    <mergeCell ref="B3:B5"/>
    <mergeCell ref="D3:F3"/>
    <mergeCell ref="G3:I3"/>
    <mergeCell ref="D4:D5"/>
    <mergeCell ref="G4:I4"/>
    <mergeCell ref="E4:E5"/>
    <mergeCell ref="F4:F5"/>
    <mergeCell ref="A46:F46"/>
    <mergeCell ref="G46:I46"/>
    <mergeCell ref="C3:C5"/>
    <mergeCell ref="B6:C6"/>
    <mergeCell ref="G6:I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E2EFD9"/>
  </sheetPr>
  <dimension ref="A1:CB531"/>
  <sheetViews>
    <sheetView showGridLines="0" topLeftCell="A481" workbookViewId="0">
      <selection activeCell="E12" sqref="E12"/>
    </sheetView>
  </sheetViews>
  <sheetFormatPr defaultColWidth="14.42578125" defaultRowHeight="15" customHeight="1"/>
  <cols>
    <col min="1" max="1" width="5.140625" customWidth="1"/>
    <col min="2" max="2" width="6" customWidth="1"/>
    <col min="3" max="4" width="36.7109375" customWidth="1"/>
    <col min="5" max="10" width="13" customWidth="1"/>
    <col min="11" max="11" width="15.5703125" customWidth="1"/>
    <col min="12" max="12" width="14.85546875" customWidth="1"/>
    <col min="13" max="13" width="11.5703125" customWidth="1"/>
    <col min="14" max="14" width="15.5703125" customWidth="1"/>
    <col min="15" max="15" width="57.85546875" customWidth="1"/>
    <col min="16" max="17" width="13" customWidth="1"/>
    <col min="18" max="18" width="44.140625" customWidth="1"/>
    <col min="19" max="19" width="13" customWidth="1"/>
    <col min="20" max="20" width="55.5703125" customWidth="1"/>
    <col min="21" max="25" width="13" customWidth="1"/>
    <col min="26" max="26" width="27.7109375" customWidth="1"/>
    <col min="27" max="31" width="13" customWidth="1"/>
    <col min="32" max="32" width="52.42578125" customWidth="1"/>
    <col min="33" max="36" width="13" customWidth="1"/>
    <col min="37" max="37" width="15.28515625" hidden="1" customWidth="1"/>
    <col min="38" max="38" width="23.7109375" hidden="1" customWidth="1"/>
    <col min="39" max="40" width="12.140625" hidden="1" customWidth="1"/>
    <col min="41" max="41" width="8.140625" hidden="1" customWidth="1"/>
    <col min="42" max="42" width="27.7109375" hidden="1" customWidth="1"/>
    <col min="43" max="43" width="28.7109375" hidden="1" customWidth="1"/>
    <col min="44" max="47" width="11" hidden="1" customWidth="1"/>
    <col min="48" max="48" width="26.28515625" hidden="1" customWidth="1"/>
    <col min="49" max="49" width="30.5703125" customWidth="1"/>
    <col min="50" max="50" width="32.140625" customWidth="1"/>
    <col min="51" max="57" width="14.140625" customWidth="1"/>
    <col min="58" max="60" width="19.85546875" customWidth="1"/>
    <col min="61" max="61" width="14.5703125" customWidth="1"/>
    <col min="62" max="62" width="17.5703125" customWidth="1"/>
    <col min="63" max="63" width="28.28515625" customWidth="1"/>
    <col min="64" max="64" width="24.85546875" customWidth="1"/>
    <col min="65" max="65" width="50.140625" customWidth="1"/>
    <col min="66" max="80" width="13.85546875" customWidth="1"/>
  </cols>
  <sheetData>
    <row r="1" spans="1:16" ht="27.75" customHeight="1">
      <c r="A1" s="590" t="s">
        <v>74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</row>
    <row r="3" spans="1:16" ht="21.75" customHeight="1">
      <c r="A3" s="591" t="s">
        <v>75</v>
      </c>
      <c r="B3" s="591" t="s">
        <v>76</v>
      </c>
      <c r="C3" s="591" t="s">
        <v>25</v>
      </c>
      <c r="D3" s="591" t="s">
        <v>77</v>
      </c>
      <c r="E3" s="584" t="s">
        <v>4</v>
      </c>
      <c r="F3" s="592" t="s">
        <v>78</v>
      </c>
      <c r="G3" s="564"/>
      <c r="H3" s="559"/>
      <c r="I3" s="594" t="s">
        <v>79</v>
      </c>
      <c r="J3" s="564"/>
      <c r="K3" s="595" t="s">
        <v>80</v>
      </c>
      <c r="L3" s="564"/>
      <c r="M3" s="559"/>
      <c r="N3" s="593" t="s">
        <v>81</v>
      </c>
      <c r="O3" s="559"/>
    </row>
    <row r="4" spans="1:16" ht="34.5" customHeight="1">
      <c r="A4" s="570"/>
      <c r="B4" s="570"/>
      <c r="C4" s="570"/>
      <c r="D4" s="570"/>
      <c r="E4" s="570"/>
      <c r="F4" s="584" t="s">
        <v>82</v>
      </c>
      <c r="G4" s="584" t="s">
        <v>83</v>
      </c>
      <c r="H4" s="584" t="s">
        <v>10</v>
      </c>
      <c r="I4" s="596" t="s">
        <v>84</v>
      </c>
      <c r="J4" s="596" t="s">
        <v>85</v>
      </c>
      <c r="K4" s="48" t="s">
        <v>86</v>
      </c>
      <c r="L4" s="48" t="s">
        <v>87</v>
      </c>
      <c r="M4" s="49" t="s">
        <v>10</v>
      </c>
      <c r="N4" s="50" t="s">
        <v>88</v>
      </c>
      <c r="O4" s="50" t="s">
        <v>89</v>
      </c>
    </row>
    <row r="5" spans="1:16" ht="21.75" hidden="1" customHeight="1">
      <c r="A5" s="561"/>
      <c r="B5" s="561"/>
      <c r="C5" s="561"/>
      <c r="D5" s="561"/>
      <c r="E5" s="561"/>
      <c r="F5" s="561"/>
      <c r="G5" s="561"/>
      <c r="H5" s="561"/>
      <c r="I5" s="561"/>
      <c r="J5" s="561"/>
      <c r="K5" s="51" t="s">
        <v>86</v>
      </c>
      <c r="L5" s="52" t="s">
        <v>87</v>
      </c>
      <c r="M5" s="53" t="s">
        <v>10</v>
      </c>
      <c r="N5" s="54" t="s">
        <v>88</v>
      </c>
      <c r="O5" s="54" t="s">
        <v>89</v>
      </c>
    </row>
    <row r="6" spans="1:16" ht="17.25" hidden="1" customHeight="1">
      <c r="A6" s="55"/>
      <c r="B6" s="56"/>
      <c r="D6" s="55"/>
      <c r="E6" s="57"/>
      <c r="F6" s="57"/>
      <c r="G6" s="57"/>
      <c r="H6" s="57"/>
      <c r="I6" s="58"/>
      <c r="J6" s="59"/>
      <c r="K6" s="60"/>
      <c r="L6" s="61"/>
      <c r="M6" s="61"/>
      <c r="N6" s="62"/>
      <c r="O6" s="62"/>
    </row>
    <row r="7" spans="1:16" ht="20.25" customHeight="1">
      <c r="A7" s="63">
        <v>1</v>
      </c>
      <c r="B7" s="63">
        <v>1</v>
      </c>
      <c r="C7" s="64" t="s">
        <v>34</v>
      </c>
      <c r="D7" s="65" t="s">
        <v>90</v>
      </c>
      <c r="E7" s="66">
        <v>10152.737536002001</v>
      </c>
      <c r="F7" s="66">
        <v>559.35080036007139</v>
      </c>
      <c r="G7" s="66">
        <v>9262.4565426718709</v>
      </c>
      <c r="H7" s="66">
        <v>9821.8073430319419</v>
      </c>
      <c r="I7" s="67" t="s">
        <v>91</v>
      </c>
      <c r="J7" s="68">
        <v>10153</v>
      </c>
      <c r="K7" s="69">
        <v>10153</v>
      </c>
      <c r="L7" s="70"/>
      <c r="M7" s="71">
        <v>10153</v>
      </c>
      <c r="N7" s="72" t="s">
        <v>92</v>
      </c>
      <c r="O7" s="64" t="s">
        <v>93</v>
      </c>
      <c r="P7" s="73"/>
    </row>
    <row r="8" spans="1:16" ht="20.25" customHeight="1">
      <c r="A8" s="63">
        <v>2</v>
      </c>
      <c r="B8" s="63">
        <v>2</v>
      </c>
      <c r="C8" s="64" t="s">
        <v>34</v>
      </c>
      <c r="D8" s="65" t="s">
        <v>94</v>
      </c>
      <c r="E8" s="66">
        <v>8299.0865860787981</v>
      </c>
      <c r="F8" s="66">
        <v>1.7969009100875533</v>
      </c>
      <c r="G8" s="66">
        <v>7151.4689028147677</v>
      </c>
      <c r="H8" s="66">
        <v>7153.2658037248557</v>
      </c>
      <c r="I8" s="74" t="s">
        <v>91</v>
      </c>
      <c r="J8" s="68">
        <v>6913.93</v>
      </c>
      <c r="K8" s="69">
        <v>6914</v>
      </c>
      <c r="L8" s="70"/>
      <c r="M8" s="71">
        <v>6914</v>
      </c>
      <c r="N8" s="72" t="s">
        <v>92</v>
      </c>
      <c r="O8" s="64" t="s">
        <v>95</v>
      </c>
    </row>
    <row r="9" spans="1:16" ht="20.25" customHeight="1">
      <c r="A9" s="63">
        <v>3</v>
      </c>
      <c r="B9" s="63">
        <v>3</v>
      </c>
      <c r="C9" s="64" t="s">
        <v>34</v>
      </c>
      <c r="D9" s="65" t="s">
        <v>96</v>
      </c>
      <c r="E9" s="66">
        <v>25690.363000958256</v>
      </c>
      <c r="F9" s="66">
        <v>0</v>
      </c>
      <c r="G9" s="66">
        <v>21600.435760920765</v>
      </c>
      <c r="H9" s="66">
        <v>21600.435760920765</v>
      </c>
      <c r="I9" s="67" t="s">
        <v>91</v>
      </c>
      <c r="J9" s="68">
        <v>24296.51</v>
      </c>
      <c r="K9" s="69">
        <v>21147.5308318809</v>
      </c>
      <c r="L9" s="70"/>
      <c r="M9" s="71">
        <v>21147.5308318809</v>
      </c>
      <c r="N9" s="72" t="s">
        <v>97</v>
      </c>
      <c r="O9" s="64" t="s">
        <v>98</v>
      </c>
    </row>
    <row r="10" spans="1:16" ht="20.25" customHeight="1">
      <c r="A10" s="63">
        <v>4</v>
      </c>
      <c r="B10" s="63">
        <v>4</v>
      </c>
      <c r="C10" s="64" t="s">
        <v>34</v>
      </c>
      <c r="D10" s="65" t="s">
        <v>99</v>
      </c>
      <c r="E10" s="66">
        <v>8943.5345531972762</v>
      </c>
      <c r="F10" s="66">
        <v>2.9289429164235901</v>
      </c>
      <c r="G10" s="66">
        <v>5963.159996327051</v>
      </c>
      <c r="H10" s="66">
        <v>5966.0889392434747</v>
      </c>
      <c r="I10" s="74" t="s">
        <v>91</v>
      </c>
      <c r="J10" s="68">
        <v>9534</v>
      </c>
      <c r="K10" s="69">
        <v>5433</v>
      </c>
      <c r="L10" s="75"/>
      <c r="M10" s="71">
        <v>5433</v>
      </c>
      <c r="N10" s="72" t="s">
        <v>97</v>
      </c>
      <c r="O10" s="76" t="s">
        <v>100</v>
      </c>
    </row>
    <row r="11" spans="1:16" ht="20.25" customHeight="1">
      <c r="A11" s="63">
        <v>5</v>
      </c>
      <c r="B11" s="63">
        <v>5</v>
      </c>
      <c r="C11" s="64" t="s">
        <v>34</v>
      </c>
      <c r="D11" s="65" t="s">
        <v>101</v>
      </c>
      <c r="E11" s="66">
        <v>7460.8277971540565</v>
      </c>
      <c r="F11" s="66">
        <v>0</v>
      </c>
      <c r="G11" s="66">
        <v>6950.3883484787657</v>
      </c>
      <c r="H11" s="66">
        <v>6950.3883484787657</v>
      </c>
      <c r="I11" s="77" t="s">
        <v>91</v>
      </c>
      <c r="J11" s="68">
        <v>6310.87</v>
      </c>
      <c r="K11" s="69">
        <v>5626</v>
      </c>
      <c r="L11" s="70"/>
      <c r="M11" s="71">
        <v>5626</v>
      </c>
      <c r="N11" s="72" t="s">
        <v>92</v>
      </c>
      <c r="O11" s="64" t="s">
        <v>102</v>
      </c>
    </row>
    <row r="12" spans="1:16" ht="20.25" customHeight="1">
      <c r="A12" s="63">
        <v>6</v>
      </c>
      <c r="B12" s="63">
        <v>6</v>
      </c>
      <c r="C12" s="64" t="s">
        <v>34</v>
      </c>
      <c r="D12" s="65" t="s">
        <v>103</v>
      </c>
      <c r="E12" s="66">
        <v>1086.8186031881417</v>
      </c>
      <c r="F12" s="66">
        <v>34.843123540541001</v>
      </c>
      <c r="G12" s="66">
        <v>610.60300945927531</v>
      </c>
      <c r="H12" s="66">
        <v>645.44613299981631</v>
      </c>
      <c r="I12" s="78" t="s">
        <v>104</v>
      </c>
      <c r="J12" s="68">
        <v>1087</v>
      </c>
      <c r="K12" s="69"/>
      <c r="L12" s="79">
        <v>1086.8186031881417</v>
      </c>
      <c r="M12" s="71">
        <v>1086.8186031881417</v>
      </c>
      <c r="N12" s="72" t="s">
        <v>92</v>
      </c>
      <c r="O12" s="64" t="s">
        <v>105</v>
      </c>
    </row>
    <row r="13" spans="1:16" ht="20.25" customHeight="1">
      <c r="A13" s="63">
        <v>7</v>
      </c>
      <c r="B13" s="63">
        <v>7</v>
      </c>
      <c r="C13" s="64" t="s">
        <v>34</v>
      </c>
      <c r="D13" s="65" t="s">
        <v>106</v>
      </c>
      <c r="E13" s="66">
        <v>9300.088891497624</v>
      </c>
      <c r="F13" s="66">
        <v>69.801798513837269</v>
      </c>
      <c r="G13" s="66">
        <v>8341.0442545392962</v>
      </c>
      <c r="H13" s="66">
        <v>8410.8460530531338</v>
      </c>
      <c r="I13" s="77" t="s">
        <v>91</v>
      </c>
      <c r="J13" s="68">
        <v>9102.35</v>
      </c>
      <c r="K13" s="69">
        <v>7271</v>
      </c>
      <c r="L13" s="75"/>
      <c r="M13" s="71">
        <v>7271</v>
      </c>
      <c r="N13" s="72" t="s">
        <v>97</v>
      </c>
      <c r="O13" s="64" t="s">
        <v>107</v>
      </c>
    </row>
    <row r="14" spans="1:16" ht="20.25" customHeight="1">
      <c r="A14" s="63">
        <v>8</v>
      </c>
      <c r="B14" s="63">
        <v>8</v>
      </c>
      <c r="C14" s="64" t="s">
        <v>34</v>
      </c>
      <c r="D14" s="65" t="s">
        <v>108</v>
      </c>
      <c r="E14" s="66">
        <v>4105.8639298608623</v>
      </c>
      <c r="F14" s="66">
        <v>1.7054720825553</v>
      </c>
      <c r="G14" s="66">
        <v>3713.5408553759157</v>
      </c>
      <c r="H14" s="66">
        <v>3715.2463274584711</v>
      </c>
      <c r="I14" s="78" t="s">
        <v>91</v>
      </c>
      <c r="J14" s="68">
        <v>6001.93</v>
      </c>
      <c r="K14" s="69">
        <v>3745.9690595571801</v>
      </c>
      <c r="L14" s="75"/>
      <c r="M14" s="71">
        <v>3745.9690595571801</v>
      </c>
      <c r="N14" s="72" t="s">
        <v>97</v>
      </c>
      <c r="O14" s="64" t="s">
        <v>107</v>
      </c>
    </row>
    <row r="15" spans="1:16" ht="20.25" customHeight="1">
      <c r="A15" s="63">
        <v>9</v>
      </c>
      <c r="B15" s="63">
        <v>9</v>
      </c>
      <c r="C15" s="64" t="s">
        <v>34</v>
      </c>
      <c r="D15" s="65" t="s">
        <v>109</v>
      </c>
      <c r="E15" s="66">
        <v>8779.5534830513752</v>
      </c>
      <c r="F15" s="66">
        <v>0</v>
      </c>
      <c r="G15" s="66">
        <v>8674.4233732923731</v>
      </c>
      <c r="H15" s="66">
        <v>8674.4233732923731</v>
      </c>
      <c r="I15" s="77" t="s">
        <v>91</v>
      </c>
      <c r="J15" s="68">
        <v>13608.09</v>
      </c>
      <c r="K15" s="69">
        <v>7969.5005912720599</v>
      </c>
      <c r="L15" s="75"/>
      <c r="M15" s="71">
        <v>7969.5005912720599</v>
      </c>
      <c r="N15" s="72" t="s">
        <v>97</v>
      </c>
      <c r="O15" s="64" t="s">
        <v>110</v>
      </c>
    </row>
    <row r="16" spans="1:16" ht="20.25" customHeight="1">
      <c r="A16" s="63">
        <v>10</v>
      </c>
      <c r="B16" s="63">
        <v>10</v>
      </c>
      <c r="C16" s="64" t="s">
        <v>34</v>
      </c>
      <c r="D16" s="65" t="s">
        <v>111</v>
      </c>
      <c r="E16" s="66">
        <v>19509.322020917971</v>
      </c>
      <c r="F16" s="66">
        <v>161.80257640529069</v>
      </c>
      <c r="G16" s="66">
        <v>19728.681393589242</v>
      </c>
      <c r="H16" s="66">
        <v>19890.483969994533</v>
      </c>
      <c r="I16" s="78" t="s">
        <v>91</v>
      </c>
      <c r="J16" s="68">
        <v>24063.99</v>
      </c>
      <c r="K16" s="69">
        <v>18096.740574219599</v>
      </c>
      <c r="L16" s="70"/>
      <c r="M16" s="71">
        <v>18096.740574219599</v>
      </c>
      <c r="N16" s="72" t="s">
        <v>97</v>
      </c>
      <c r="O16" s="64" t="s">
        <v>112</v>
      </c>
    </row>
    <row r="17" spans="1:15" ht="20.25" customHeight="1">
      <c r="A17" s="63">
        <v>11</v>
      </c>
      <c r="B17" s="63">
        <v>11</v>
      </c>
      <c r="C17" s="64" t="s">
        <v>34</v>
      </c>
      <c r="D17" s="65" t="s">
        <v>113</v>
      </c>
      <c r="E17" s="66">
        <v>38413.041647914986</v>
      </c>
      <c r="F17" s="66">
        <v>9.8323378407416637</v>
      </c>
      <c r="G17" s="66">
        <v>39752.433798669197</v>
      </c>
      <c r="H17" s="66">
        <v>39762.266136509941</v>
      </c>
      <c r="I17" s="77" t="s">
        <v>91</v>
      </c>
      <c r="J17" s="68">
        <v>40592.840000000004</v>
      </c>
      <c r="K17" s="69">
        <v>35670.601940211302</v>
      </c>
      <c r="L17" s="70"/>
      <c r="M17" s="71">
        <v>35670.601940211302</v>
      </c>
      <c r="N17" s="72" t="s">
        <v>97</v>
      </c>
      <c r="O17" s="76" t="s">
        <v>114</v>
      </c>
    </row>
    <row r="18" spans="1:15" ht="20.25" customHeight="1">
      <c r="A18" s="63">
        <v>12</v>
      </c>
      <c r="B18" s="63">
        <v>12</v>
      </c>
      <c r="C18" s="64" t="s">
        <v>34</v>
      </c>
      <c r="D18" s="65" t="s">
        <v>115</v>
      </c>
      <c r="E18" s="66">
        <v>940.75715469039005</v>
      </c>
      <c r="F18" s="66">
        <v>1.4392094071899999</v>
      </c>
      <c r="G18" s="66">
        <v>608.30979863510538</v>
      </c>
      <c r="H18" s="66">
        <v>609.74900804229537</v>
      </c>
      <c r="I18" s="78" t="s">
        <v>104</v>
      </c>
      <c r="J18" s="68">
        <v>3197.5</v>
      </c>
      <c r="K18" s="69"/>
      <c r="L18" s="79">
        <v>940.75715469039005</v>
      </c>
      <c r="M18" s="71">
        <v>940.75715469039005</v>
      </c>
      <c r="N18" s="72" t="s">
        <v>116</v>
      </c>
      <c r="O18" s="64" t="s">
        <v>117</v>
      </c>
    </row>
    <row r="19" spans="1:15" ht="20.25" customHeight="1">
      <c r="A19" s="63">
        <v>13</v>
      </c>
      <c r="B19" s="63">
        <v>13</v>
      </c>
      <c r="C19" s="64" t="s">
        <v>34</v>
      </c>
      <c r="D19" s="65" t="s">
        <v>118</v>
      </c>
      <c r="E19" s="66">
        <v>14929.554070471704</v>
      </c>
      <c r="F19" s="66">
        <v>0</v>
      </c>
      <c r="G19" s="66">
        <v>15718.129210816676</v>
      </c>
      <c r="H19" s="66">
        <v>15718.129210816676</v>
      </c>
      <c r="I19" s="77" t="s">
        <v>91</v>
      </c>
      <c r="J19" s="68">
        <v>17301.72</v>
      </c>
      <c r="K19" s="69">
        <v>13425.0938352004</v>
      </c>
      <c r="L19" s="70"/>
      <c r="M19" s="71">
        <v>13425.0938352004</v>
      </c>
      <c r="N19" s="72" t="s">
        <v>97</v>
      </c>
      <c r="O19" s="64" t="s">
        <v>119</v>
      </c>
    </row>
    <row r="20" spans="1:15" ht="20.25" customHeight="1">
      <c r="A20" s="63">
        <v>14</v>
      </c>
      <c r="B20" s="63">
        <v>14</v>
      </c>
      <c r="C20" s="64" t="s">
        <v>34</v>
      </c>
      <c r="D20" s="65" t="s">
        <v>120</v>
      </c>
      <c r="E20" s="66">
        <v>4855.1431793968031</v>
      </c>
      <c r="F20" s="66">
        <v>0</v>
      </c>
      <c r="G20" s="66">
        <v>4260.0172831387717</v>
      </c>
      <c r="H20" s="66">
        <v>4260.0172831387717</v>
      </c>
      <c r="I20" s="78" t="s">
        <v>104</v>
      </c>
      <c r="J20" s="68">
        <v>4438.5</v>
      </c>
      <c r="K20" s="69"/>
      <c r="L20" s="79">
        <v>4438.5</v>
      </c>
      <c r="M20" s="71">
        <v>4438.5</v>
      </c>
      <c r="N20" s="72" t="s">
        <v>92</v>
      </c>
      <c r="O20" s="64" t="s">
        <v>121</v>
      </c>
    </row>
    <row r="21" spans="1:15" ht="20.25" hidden="1" customHeight="1">
      <c r="A21" s="63">
        <v>15</v>
      </c>
      <c r="B21" s="63">
        <v>15</v>
      </c>
      <c r="C21" s="64" t="s">
        <v>34</v>
      </c>
      <c r="D21" s="65" t="s">
        <v>122</v>
      </c>
      <c r="E21" s="66">
        <v>58.377182690578763</v>
      </c>
      <c r="F21" s="66">
        <v>0</v>
      </c>
      <c r="G21" s="66">
        <v>41.482111400498795</v>
      </c>
      <c r="H21" s="66">
        <v>41.482111400498795</v>
      </c>
      <c r="I21" s="77" t="s">
        <v>123</v>
      </c>
      <c r="J21" s="68">
        <v>0</v>
      </c>
      <c r="K21" s="80"/>
      <c r="L21" s="81"/>
      <c r="M21" s="82">
        <v>0</v>
      </c>
      <c r="N21" s="72" t="s">
        <v>116</v>
      </c>
      <c r="O21" s="64" t="s">
        <v>124</v>
      </c>
    </row>
    <row r="22" spans="1:15" ht="20.25" customHeight="1">
      <c r="A22" s="63">
        <v>16</v>
      </c>
      <c r="B22" s="63">
        <v>16</v>
      </c>
      <c r="C22" s="64" t="s">
        <v>34</v>
      </c>
      <c r="D22" s="65" t="s">
        <v>125</v>
      </c>
      <c r="E22" s="66">
        <v>1083.8856710725488</v>
      </c>
      <c r="F22" s="66">
        <v>0.2094588826812</v>
      </c>
      <c r="G22" s="66">
        <v>1099.3447980076035</v>
      </c>
      <c r="H22" s="66">
        <v>1099.5542568902847</v>
      </c>
      <c r="I22" s="78" t="s">
        <v>91</v>
      </c>
      <c r="J22" s="68">
        <v>990.58</v>
      </c>
      <c r="K22" s="69">
        <v>897</v>
      </c>
      <c r="L22" s="70"/>
      <c r="M22" s="71">
        <v>897</v>
      </c>
      <c r="N22" s="72" t="s">
        <v>126</v>
      </c>
      <c r="O22" s="64" t="s">
        <v>127</v>
      </c>
    </row>
    <row r="23" spans="1:15" ht="20.25" customHeight="1">
      <c r="A23" s="63">
        <v>17</v>
      </c>
      <c r="B23" s="63">
        <v>17</v>
      </c>
      <c r="C23" s="64" t="s">
        <v>34</v>
      </c>
      <c r="D23" s="65" t="s">
        <v>128</v>
      </c>
      <c r="E23" s="66">
        <v>1068.482504323114</v>
      </c>
      <c r="F23" s="66">
        <v>0.62579292729900005</v>
      </c>
      <c r="G23" s="66">
        <v>1104.336631970509</v>
      </c>
      <c r="H23" s="66">
        <v>1104.962424897808</v>
      </c>
      <c r="I23" s="77" t="s">
        <v>104</v>
      </c>
      <c r="J23" s="68">
        <v>860</v>
      </c>
      <c r="K23" s="69"/>
      <c r="L23" s="79">
        <v>860</v>
      </c>
      <c r="M23" s="71">
        <v>860</v>
      </c>
      <c r="N23" s="72" t="s">
        <v>116</v>
      </c>
      <c r="O23" s="64" t="s">
        <v>129</v>
      </c>
    </row>
    <row r="24" spans="1:15" ht="20.25" hidden="1" customHeight="1">
      <c r="A24" s="63">
        <v>18</v>
      </c>
      <c r="B24" s="63">
        <v>18</v>
      </c>
      <c r="C24" s="64" t="s">
        <v>34</v>
      </c>
      <c r="D24" s="65" t="s">
        <v>130</v>
      </c>
      <c r="E24" s="66">
        <v>0</v>
      </c>
      <c r="F24" s="66">
        <v>0</v>
      </c>
      <c r="G24" s="66">
        <v>0</v>
      </c>
      <c r="H24" s="66">
        <v>0</v>
      </c>
      <c r="I24" s="78" t="s">
        <v>123</v>
      </c>
      <c r="J24" s="68">
        <v>0</v>
      </c>
      <c r="K24" s="80"/>
      <c r="L24" s="81"/>
      <c r="M24" s="82">
        <v>0</v>
      </c>
      <c r="N24" s="72" t="s">
        <v>116</v>
      </c>
      <c r="O24" s="64" t="s">
        <v>131</v>
      </c>
    </row>
    <row r="25" spans="1:15" ht="20.25" customHeight="1">
      <c r="A25" s="63">
        <v>19</v>
      </c>
      <c r="B25" s="63">
        <v>19</v>
      </c>
      <c r="C25" s="64" t="s">
        <v>34</v>
      </c>
      <c r="D25" s="65" t="s">
        <v>132</v>
      </c>
      <c r="E25" s="66">
        <v>1855.5285676533017</v>
      </c>
      <c r="F25" s="66">
        <v>21.355569358089998</v>
      </c>
      <c r="G25" s="66">
        <v>446.45065210315187</v>
      </c>
      <c r="H25" s="66">
        <v>467.80622146124188</v>
      </c>
      <c r="I25" s="77" t="s">
        <v>104</v>
      </c>
      <c r="J25" s="68">
        <v>755.46</v>
      </c>
      <c r="K25" s="69"/>
      <c r="L25" s="79">
        <v>755.46</v>
      </c>
      <c r="M25" s="71">
        <v>755.46</v>
      </c>
      <c r="N25" s="72" t="s">
        <v>116</v>
      </c>
      <c r="O25" s="64" t="s">
        <v>133</v>
      </c>
    </row>
    <row r="26" spans="1:15" ht="20.25" customHeight="1">
      <c r="A26" s="63">
        <v>20</v>
      </c>
      <c r="B26" s="63">
        <v>20</v>
      </c>
      <c r="C26" s="64" t="s">
        <v>34</v>
      </c>
      <c r="D26" s="65" t="s">
        <v>134</v>
      </c>
      <c r="E26" s="66">
        <v>6691.6246575829127</v>
      </c>
      <c r="F26" s="66">
        <v>0</v>
      </c>
      <c r="G26" s="66">
        <v>5868.8690379998316</v>
      </c>
      <c r="H26" s="66">
        <v>5868.8690379998316</v>
      </c>
      <c r="I26" s="78" t="s">
        <v>91</v>
      </c>
      <c r="J26" s="68">
        <v>6845.7199999999993</v>
      </c>
      <c r="K26" s="69">
        <v>5596.2444755075003</v>
      </c>
      <c r="L26" s="75"/>
      <c r="M26" s="71">
        <v>5596.2444755075003</v>
      </c>
      <c r="N26" s="72" t="s">
        <v>97</v>
      </c>
      <c r="O26" s="64" t="s">
        <v>135</v>
      </c>
    </row>
    <row r="27" spans="1:15" ht="20.25" customHeight="1">
      <c r="A27" s="63">
        <v>21</v>
      </c>
      <c r="B27" s="63">
        <v>21</v>
      </c>
      <c r="C27" s="64" t="s">
        <v>34</v>
      </c>
      <c r="D27" s="65" t="s">
        <v>136</v>
      </c>
      <c r="E27" s="66">
        <v>24784.179962587183</v>
      </c>
      <c r="F27" s="66">
        <v>18.621544585043001</v>
      </c>
      <c r="G27" s="66">
        <v>25313.393497690791</v>
      </c>
      <c r="H27" s="66">
        <v>25332.015042275834</v>
      </c>
      <c r="I27" s="77" t="s">
        <v>91</v>
      </c>
      <c r="J27" s="68">
        <v>26242.87</v>
      </c>
      <c r="K27" s="69">
        <v>23129.5172175261</v>
      </c>
      <c r="L27" s="70"/>
      <c r="M27" s="71">
        <v>23129.5172175261</v>
      </c>
      <c r="N27" s="72" t="s">
        <v>97</v>
      </c>
      <c r="O27" s="76" t="s">
        <v>137</v>
      </c>
    </row>
    <row r="28" spans="1:15" ht="20.25" customHeight="1">
      <c r="A28" s="63">
        <v>22</v>
      </c>
      <c r="B28" s="63">
        <v>22</v>
      </c>
      <c r="C28" s="64" t="s">
        <v>34</v>
      </c>
      <c r="D28" s="65" t="s">
        <v>138</v>
      </c>
      <c r="E28" s="66">
        <v>8818.0422845580142</v>
      </c>
      <c r="F28" s="66">
        <v>0</v>
      </c>
      <c r="G28" s="66">
        <v>8546.6124906832392</v>
      </c>
      <c r="H28" s="66">
        <v>8546.6124906832392</v>
      </c>
      <c r="I28" s="78" t="s">
        <v>91</v>
      </c>
      <c r="J28" s="68">
        <v>9799.82</v>
      </c>
      <c r="K28" s="69">
        <v>7892</v>
      </c>
      <c r="L28" s="75"/>
      <c r="M28" s="71">
        <v>7892</v>
      </c>
      <c r="N28" s="72" t="s">
        <v>97</v>
      </c>
      <c r="O28" s="64" t="s">
        <v>139</v>
      </c>
    </row>
    <row r="29" spans="1:15" ht="20.25" customHeight="1">
      <c r="A29" s="63">
        <v>23</v>
      </c>
      <c r="B29" s="63">
        <v>23</v>
      </c>
      <c r="C29" s="64" t="s">
        <v>34</v>
      </c>
      <c r="D29" s="65" t="s">
        <v>140</v>
      </c>
      <c r="E29" s="66">
        <v>7171.548211449719</v>
      </c>
      <c r="F29" s="66">
        <v>0</v>
      </c>
      <c r="G29" s="66">
        <v>7171.4897767757866</v>
      </c>
      <c r="H29" s="66">
        <v>7171.4897767757866</v>
      </c>
      <c r="I29" s="77" t="s">
        <v>91</v>
      </c>
      <c r="J29" s="68">
        <v>7030</v>
      </c>
      <c r="K29" s="69">
        <v>6424</v>
      </c>
      <c r="L29" s="70"/>
      <c r="M29" s="71">
        <v>6424</v>
      </c>
      <c r="N29" s="72" t="s">
        <v>92</v>
      </c>
      <c r="O29" s="64" t="s">
        <v>141</v>
      </c>
    </row>
    <row r="30" spans="1:15" ht="20.25" customHeight="1">
      <c r="A30" s="63">
        <v>24</v>
      </c>
      <c r="B30" s="63">
        <v>1</v>
      </c>
      <c r="C30" s="62" t="s">
        <v>35</v>
      </c>
      <c r="D30" s="65" t="s">
        <v>142</v>
      </c>
      <c r="E30" s="66">
        <v>6538.009697936126</v>
      </c>
      <c r="F30" s="66">
        <v>357.1903444559519</v>
      </c>
      <c r="G30" s="66">
        <v>7946.7899735901519</v>
      </c>
      <c r="H30" s="66">
        <v>8303.980318046104</v>
      </c>
      <c r="I30" s="78" t="s">
        <v>91</v>
      </c>
      <c r="J30" s="68">
        <v>0</v>
      </c>
      <c r="K30" s="69">
        <v>4508</v>
      </c>
      <c r="L30" s="70"/>
      <c r="M30" s="71">
        <v>4508</v>
      </c>
      <c r="N30" s="72" t="s">
        <v>116</v>
      </c>
      <c r="O30" s="64" t="s">
        <v>143</v>
      </c>
    </row>
    <row r="31" spans="1:15" ht="20.25" customHeight="1">
      <c r="A31" s="63">
        <v>25</v>
      </c>
      <c r="B31" s="63">
        <v>2</v>
      </c>
      <c r="C31" s="62" t="s">
        <v>35</v>
      </c>
      <c r="D31" s="65" t="s">
        <v>144</v>
      </c>
      <c r="E31" s="66">
        <v>12075.262265283354</v>
      </c>
      <c r="F31" s="66">
        <v>139.86001989709007</v>
      </c>
      <c r="G31" s="66">
        <v>12604.802182950129</v>
      </c>
      <c r="H31" s="66">
        <v>12744.662202847219</v>
      </c>
      <c r="I31" s="77" t="s">
        <v>91</v>
      </c>
      <c r="J31" s="68">
        <v>12061</v>
      </c>
      <c r="K31" s="69">
        <v>11945</v>
      </c>
      <c r="L31" s="70"/>
      <c r="M31" s="71">
        <v>11945</v>
      </c>
      <c r="N31" s="72" t="s">
        <v>116</v>
      </c>
      <c r="O31" s="64" t="s">
        <v>145</v>
      </c>
    </row>
    <row r="32" spans="1:15" ht="20.25" hidden="1" customHeight="1">
      <c r="A32" s="63">
        <v>26</v>
      </c>
      <c r="B32" s="63">
        <v>3</v>
      </c>
      <c r="C32" s="62" t="s">
        <v>35</v>
      </c>
      <c r="D32" s="65" t="s">
        <v>146</v>
      </c>
      <c r="E32" s="66">
        <v>5694.1589052428772</v>
      </c>
      <c r="F32" s="66">
        <v>84.295977383850797</v>
      </c>
      <c r="G32" s="66">
        <v>5605.9403138729367</v>
      </c>
      <c r="H32" s="66">
        <v>5690.2362912567878</v>
      </c>
      <c r="I32" s="78" t="s">
        <v>123</v>
      </c>
      <c r="J32" s="68">
        <v>0</v>
      </c>
      <c r="K32" s="80"/>
      <c r="L32" s="81"/>
      <c r="M32" s="82">
        <v>0</v>
      </c>
      <c r="N32" s="72" t="s">
        <v>116</v>
      </c>
      <c r="O32" s="64" t="s">
        <v>147</v>
      </c>
    </row>
    <row r="33" spans="1:15" ht="20.25" customHeight="1">
      <c r="A33" s="63">
        <v>27</v>
      </c>
      <c r="B33" s="63">
        <v>4</v>
      </c>
      <c r="C33" s="62" t="s">
        <v>35</v>
      </c>
      <c r="D33" s="65" t="s">
        <v>148</v>
      </c>
      <c r="E33" s="66">
        <v>33861.22374609606</v>
      </c>
      <c r="F33" s="66">
        <v>2510.8387746856652</v>
      </c>
      <c r="G33" s="66">
        <v>28490.770038898263</v>
      </c>
      <c r="H33" s="66">
        <v>31001.608813583927</v>
      </c>
      <c r="I33" s="77" t="s">
        <v>91</v>
      </c>
      <c r="J33" s="68">
        <v>26212.959999999999</v>
      </c>
      <c r="K33" s="69">
        <v>19894</v>
      </c>
      <c r="L33" s="70"/>
      <c r="M33" s="71">
        <v>19894</v>
      </c>
      <c r="N33" s="72" t="s">
        <v>116</v>
      </c>
      <c r="O33" s="64" t="s">
        <v>149</v>
      </c>
    </row>
    <row r="34" spans="1:15" ht="20.25" hidden="1" customHeight="1">
      <c r="A34" s="63">
        <v>28</v>
      </c>
      <c r="B34" s="63">
        <v>5</v>
      </c>
      <c r="C34" s="62" t="s">
        <v>35</v>
      </c>
      <c r="D34" s="65" t="s">
        <v>150</v>
      </c>
      <c r="E34" s="66">
        <v>11836.711348452704</v>
      </c>
      <c r="F34" s="66">
        <v>48.035710122222646</v>
      </c>
      <c r="G34" s="66">
        <v>13591.192677061335</v>
      </c>
      <c r="H34" s="66">
        <v>13639.228387183559</v>
      </c>
      <c r="I34" s="78" t="s">
        <v>123</v>
      </c>
      <c r="J34" s="68">
        <v>0</v>
      </c>
      <c r="K34" s="80"/>
      <c r="L34" s="81"/>
      <c r="M34" s="82">
        <v>0</v>
      </c>
      <c r="N34" s="72" t="s">
        <v>116</v>
      </c>
      <c r="O34" s="64" t="s">
        <v>151</v>
      </c>
    </row>
    <row r="35" spans="1:15" ht="20.25" customHeight="1">
      <c r="A35" s="63">
        <v>29</v>
      </c>
      <c r="B35" s="63">
        <v>6</v>
      </c>
      <c r="C35" s="62" t="s">
        <v>35</v>
      </c>
      <c r="D35" s="65" t="s">
        <v>152</v>
      </c>
      <c r="E35" s="66">
        <v>14471.96725497933</v>
      </c>
      <c r="F35" s="66">
        <v>83.140069388299096</v>
      </c>
      <c r="G35" s="66">
        <v>10729.903304088648</v>
      </c>
      <c r="H35" s="66">
        <v>10813.043373476947</v>
      </c>
      <c r="I35" s="77" t="s">
        <v>104</v>
      </c>
      <c r="J35" s="68">
        <v>12768</v>
      </c>
      <c r="K35" s="69"/>
      <c r="L35" s="79">
        <v>12768</v>
      </c>
      <c r="M35" s="71">
        <v>12768</v>
      </c>
      <c r="N35" s="72" t="s">
        <v>116</v>
      </c>
      <c r="O35" s="64" t="s">
        <v>153</v>
      </c>
    </row>
    <row r="36" spans="1:15" ht="20.25" hidden="1" customHeight="1">
      <c r="A36" s="63">
        <v>30</v>
      </c>
      <c r="B36" s="63">
        <v>7</v>
      </c>
      <c r="C36" s="62" t="s">
        <v>35</v>
      </c>
      <c r="D36" s="65" t="s">
        <v>154</v>
      </c>
      <c r="E36" s="66">
        <v>1208.3647847157999</v>
      </c>
      <c r="F36" s="66">
        <v>0</v>
      </c>
      <c r="G36" s="66">
        <v>1212.9054959222394</v>
      </c>
      <c r="H36" s="66">
        <v>1212.9054959222394</v>
      </c>
      <c r="I36" s="78" t="s">
        <v>123</v>
      </c>
      <c r="J36" s="68">
        <v>0</v>
      </c>
      <c r="K36" s="80"/>
      <c r="L36" s="81"/>
      <c r="M36" s="82">
        <v>0</v>
      </c>
      <c r="N36" s="72" t="s">
        <v>116</v>
      </c>
      <c r="O36" s="64" t="s">
        <v>155</v>
      </c>
    </row>
    <row r="37" spans="1:15" ht="20.25" hidden="1" customHeight="1">
      <c r="A37" s="63">
        <v>31</v>
      </c>
      <c r="B37" s="63">
        <v>8</v>
      </c>
      <c r="C37" s="62" t="s">
        <v>35</v>
      </c>
      <c r="D37" s="65" t="s">
        <v>156</v>
      </c>
      <c r="E37" s="66">
        <v>1163.5455893254978</v>
      </c>
      <c r="F37" s="66">
        <v>0</v>
      </c>
      <c r="G37" s="66">
        <v>677.06458489186252</v>
      </c>
      <c r="H37" s="66">
        <v>677.06458489186252</v>
      </c>
      <c r="I37" s="77" t="s">
        <v>123</v>
      </c>
      <c r="J37" s="68">
        <v>0</v>
      </c>
      <c r="K37" s="80"/>
      <c r="L37" s="81"/>
      <c r="M37" s="82">
        <v>0</v>
      </c>
      <c r="N37" s="72" t="s">
        <v>116</v>
      </c>
      <c r="O37" s="64" t="s">
        <v>157</v>
      </c>
    </row>
    <row r="38" spans="1:15" ht="20.25" customHeight="1">
      <c r="A38" s="63">
        <v>32</v>
      </c>
      <c r="B38" s="63">
        <v>9</v>
      </c>
      <c r="C38" s="62" t="s">
        <v>35</v>
      </c>
      <c r="D38" s="65" t="s">
        <v>158</v>
      </c>
      <c r="E38" s="66">
        <v>1005.7925164686635</v>
      </c>
      <c r="F38" s="66">
        <v>7.3289288641399999</v>
      </c>
      <c r="G38" s="66">
        <v>661.70438630850958</v>
      </c>
      <c r="H38" s="66">
        <v>669.03331517264962</v>
      </c>
      <c r="I38" s="78" t="s">
        <v>91</v>
      </c>
      <c r="J38" s="68">
        <v>121</v>
      </c>
      <c r="K38" s="69">
        <v>47</v>
      </c>
      <c r="L38" s="70"/>
      <c r="M38" s="71">
        <v>47</v>
      </c>
      <c r="N38" s="72" t="s">
        <v>116</v>
      </c>
      <c r="O38" s="64" t="s">
        <v>159</v>
      </c>
    </row>
    <row r="39" spans="1:15" ht="20.25" hidden="1" customHeight="1">
      <c r="A39" s="63">
        <v>33</v>
      </c>
      <c r="B39" s="63">
        <v>10</v>
      </c>
      <c r="C39" s="62" t="s">
        <v>35</v>
      </c>
      <c r="D39" s="65" t="s">
        <v>160</v>
      </c>
      <c r="E39" s="66">
        <v>3066.2104740226682</v>
      </c>
      <c r="F39" s="66">
        <v>2.1360260949540004</v>
      </c>
      <c r="G39" s="66">
        <v>2829.1835296281934</v>
      </c>
      <c r="H39" s="66">
        <v>2831.3195557231475</v>
      </c>
      <c r="I39" s="77" t="s">
        <v>123</v>
      </c>
      <c r="J39" s="68">
        <v>0</v>
      </c>
      <c r="K39" s="80"/>
      <c r="L39" s="81"/>
      <c r="M39" s="82">
        <v>0</v>
      </c>
      <c r="N39" s="72" t="s">
        <v>126</v>
      </c>
      <c r="O39" s="64" t="s">
        <v>161</v>
      </c>
    </row>
    <row r="40" spans="1:15" ht="20.25" customHeight="1">
      <c r="A40" s="63">
        <v>34</v>
      </c>
      <c r="B40" s="63">
        <v>11</v>
      </c>
      <c r="C40" s="62" t="s">
        <v>35</v>
      </c>
      <c r="D40" s="65" t="s">
        <v>162</v>
      </c>
      <c r="E40" s="66">
        <v>1519.7260469217113</v>
      </c>
      <c r="F40" s="66">
        <v>0</v>
      </c>
      <c r="G40" s="66">
        <v>1257.7950040812218</v>
      </c>
      <c r="H40" s="66">
        <v>1257.7950040812218</v>
      </c>
      <c r="I40" s="78" t="s">
        <v>104</v>
      </c>
      <c r="J40" s="68">
        <v>1622</v>
      </c>
      <c r="K40" s="69"/>
      <c r="L40" s="79">
        <v>1519.7260469217113</v>
      </c>
      <c r="M40" s="71">
        <v>1519.7260469217113</v>
      </c>
      <c r="N40" s="72" t="s">
        <v>116</v>
      </c>
      <c r="O40" s="64" t="s">
        <v>163</v>
      </c>
    </row>
    <row r="41" spans="1:15" ht="20.25" hidden="1" customHeight="1">
      <c r="A41" s="63">
        <v>35</v>
      </c>
      <c r="B41" s="63">
        <v>12</v>
      </c>
      <c r="C41" s="62" t="s">
        <v>35</v>
      </c>
      <c r="D41" s="65" t="s">
        <v>164</v>
      </c>
      <c r="E41" s="66"/>
      <c r="F41" s="66">
        <v>0</v>
      </c>
      <c r="G41" s="66">
        <v>0</v>
      </c>
      <c r="H41" s="66">
        <v>0</v>
      </c>
      <c r="I41" s="77" t="s">
        <v>123</v>
      </c>
      <c r="J41" s="68">
        <v>0</v>
      </c>
      <c r="K41" s="80"/>
      <c r="L41" s="81"/>
      <c r="M41" s="82">
        <v>0</v>
      </c>
      <c r="N41" s="72" t="s">
        <v>116</v>
      </c>
      <c r="O41" s="64" t="s">
        <v>165</v>
      </c>
    </row>
    <row r="42" spans="1:15" ht="20.25" customHeight="1">
      <c r="A42" s="63">
        <v>36</v>
      </c>
      <c r="B42" s="63">
        <v>13</v>
      </c>
      <c r="C42" s="62" t="s">
        <v>35</v>
      </c>
      <c r="D42" s="65" t="s">
        <v>166</v>
      </c>
      <c r="E42" s="66">
        <v>72.74749021292601</v>
      </c>
      <c r="F42" s="66">
        <v>0</v>
      </c>
      <c r="G42" s="66">
        <v>66.802731592009295</v>
      </c>
      <c r="H42" s="66">
        <v>66.802731592009295</v>
      </c>
      <c r="I42" s="78" t="s">
        <v>104</v>
      </c>
      <c r="J42" s="68">
        <v>359.61</v>
      </c>
      <c r="K42" s="69"/>
      <c r="L42" s="79">
        <v>72.74749021292601</v>
      </c>
      <c r="M42" s="71">
        <v>72.74749021292601</v>
      </c>
      <c r="N42" s="72" t="s">
        <v>116</v>
      </c>
      <c r="O42" s="64" t="s">
        <v>167</v>
      </c>
    </row>
    <row r="43" spans="1:15" ht="20.25" customHeight="1">
      <c r="A43" s="63">
        <v>37</v>
      </c>
      <c r="B43" s="63">
        <v>14</v>
      </c>
      <c r="C43" s="62" t="s">
        <v>35</v>
      </c>
      <c r="D43" s="65" t="s">
        <v>168</v>
      </c>
      <c r="E43" s="66">
        <v>255.6425843877</v>
      </c>
      <c r="F43" s="66">
        <v>0</v>
      </c>
      <c r="G43" s="66">
        <v>232.27114983276067</v>
      </c>
      <c r="H43" s="66">
        <v>232.27114983276067</v>
      </c>
      <c r="I43" s="77" t="s">
        <v>91</v>
      </c>
      <c r="J43" s="68">
        <v>230.29</v>
      </c>
      <c r="K43" s="69">
        <v>210</v>
      </c>
      <c r="L43" s="70"/>
      <c r="M43" s="71">
        <v>210</v>
      </c>
      <c r="N43" s="72" t="s">
        <v>126</v>
      </c>
      <c r="O43" s="64" t="s">
        <v>169</v>
      </c>
    </row>
    <row r="44" spans="1:15" ht="20.25" customHeight="1">
      <c r="A44" s="63">
        <v>38</v>
      </c>
      <c r="B44" s="63">
        <v>15</v>
      </c>
      <c r="C44" s="62" t="s">
        <v>35</v>
      </c>
      <c r="D44" s="65" t="s">
        <v>170</v>
      </c>
      <c r="E44" s="66">
        <v>16244.202746448878</v>
      </c>
      <c r="F44" s="66">
        <v>606.71287105699673</v>
      </c>
      <c r="G44" s="66">
        <v>17346.39469130135</v>
      </c>
      <c r="H44" s="66">
        <v>17953.107562358346</v>
      </c>
      <c r="I44" s="78" t="s">
        <v>91</v>
      </c>
      <c r="J44" s="68">
        <v>21348.46</v>
      </c>
      <c r="K44" s="69">
        <v>16209</v>
      </c>
      <c r="L44" s="70"/>
      <c r="M44" s="71">
        <v>16209</v>
      </c>
      <c r="N44" s="72" t="s">
        <v>97</v>
      </c>
      <c r="O44" s="83" t="s">
        <v>171</v>
      </c>
    </row>
    <row r="45" spans="1:15" ht="20.25" hidden="1" customHeight="1">
      <c r="A45" s="63">
        <v>39</v>
      </c>
      <c r="B45" s="63">
        <v>16</v>
      </c>
      <c r="C45" s="62" t="s">
        <v>35</v>
      </c>
      <c r="D45" s="65" t="s">
        <v>172</v>
      </c>
      <c r="E45" s="66">
        <v>174.52515702439661</v>
      </c>
      <c r="F45" s="66">
        <v>16.514814397285647</v>
      </c>
      <c r="G45" s="66">
        <v>149.7535411251215</v>
      </c>
      <c r="H45" s="66">
        <v>166.26835552240715</v>
      </c>
      <c r="I45" s="77" t="s">
        <v>123</v>
      </c>
      <c r="J45" s="68">
        <v>0</v>
      </c>
      <c r="K45" s="80"/>
      <c r="L45" s="81"/>
      <c r="M45" s="82">
        <v>0</v>
      </c>
      <c r="N45" s="72" t="s">
        <v>116</v>
      </c>
      <c r="O45" s="64" t="s">
        <v>173</v>
      </c>
    </row>
    <row r="46" spans="1:15" ht="20.25" hidden="1" customHeight="1">
      <c r="A46" s="63">
        <v>40</v>
      </c>
      <c r="B46" s="63">
        <v>17</v>
      </c>
      <c r="C46" s="62" t="s">
        <v>35</v>
      </c>
      <c r="D46" s="65" t="s">
        <v>174</v>
      </c>
      <c r="E46" s="66">
        <v>11992.592601741591</v>
      </c>
      <c r="F46" s="66">
        <v>465.45595963421977</v>
      </c>
      <c r="G46" s="66">
        <v>12523.889663035035</v>
      </c>
      <c r="H46" s="66">
        <v>12989.345622669256</v>
      </c>
      <c r="I46" s="78" t="s">
        <v>123</v>
      </c>
      <c r="J46" s="68">
        <v>0</v>
      </c>
      <c r="K46" s="80"/>
      <c r="L46" s="81"/>
      <c r="M46" s="82">
        <v>0</v>
      </c>
      <c r="N46" s="72" t="s">
        <v>116</v>
      </c>
      <c r="O46" s="64" t="s">
        <v>175</v>
      </c>
    </row>
    <row r="47" spans="1:15" ht="20.25" customHeight="1">
      <c r="A47" s="63">
        <v>41</v>
      </c>
      <c r="B47" s="63">
        <v>18</v>
      </c>
      <c r="C47" s="62" t="s">
        <v>35</v>
      </c>
      <c r="D47" s="65" t="s">
        <v>176</v>
      </c>
      <c r="E47" s="66">
        <v>19432.11538486222</v>
      </c>
      <c r="F47" s="66">
        <v>167.75593421413035</v>
      </c>
      <c r="G47" s="66">
        <v>20065.878423788938</v>
      </c>
      <c r="H47" s="66">
        <v>20233.63435800307</v>
      </c>
      <c r="I47" s="77" t="s">
        <v>91</v>
      </c>
      <c r="J47" s="68">
        <v>22959.02</v>
      </c>
      <c r="K47" s="69">
        <v>19034</v>
      </c>
      <c r="L47" s="70"/>
      <c r="M47" s="71">
        <v>19034</v>
      </c>
      <c r="N47" s="72" t="s">
        <v>97</v>
      </c>
      <c r="O47" s="64" t="s">
        <v>177</v>
      </c>
    </row>
    <row r="48" spans="1:15" ht="20.25" customHeight="1">
      <c r="A48" s="63">
        <v>42</v>
      </c>
      <c r="B48" s="63">
        <v>19</v>
      </c>
      <c r="C48" s="62" t="s">
        <v>35</v>
      </c>
      <c r="D48" s="65" t="s">
        <v>178</v>
      </c>
      <c r="E48" s="66">
        <v>11581.041967391473</v>
      </c>
      <c r="F48" s="66">
        <v>141.0030917333317</v>
      </c>
      <c r="G48" s="66">
        <v>12400.088868907149</v>
      </c>
      <c r="H48" s="66">
        <v>12541.09196064048</v>
      </c>
      <c r="I48" s="78" t="s">
        <v>91</v>
      </c>
      <c r="J48" s="68">
        <v>12790.44</v>
      </c>
      <c r="K48" s="69">
        <v>10812</v>
      </c>
      <c r="L48" s="70"/>
      <c r="M48" s="71">
        <v>10812</v>
      </c>
      <c r="N48" s="72" t="s">
        <v>97</v>
      </c>
      <c r="O48" s="64" t="s">
        <v>179</v>
      </c>
    </row>
    <row r="49" spans="1:15" ht="20.25" customHeight="1">
      <c r="A49" s="63">
        <v>43</v>
      </c>
      <c r="B49" s="63">
        <v>20</v>
      </c>
      <c r="C49" s="62" t="s">
        <v>35</v>
      </c>
      <c r="D49" s="65" t="s">
        <v>180</v>
      </c>
      <c r="E49" s="66">
        <v>5985.3309156194109</v>
      </c>
      <c r="F49" s="66">
        <v>0</v>
      </c>
      <c r="G49" s="66">
        <v>5516.0600517603234</v>
      </c>
      <c r="H49" s="66">
        <v>5516.0600517603234</v>
      </c>
      <c r="I49" s="77" t="s">
        <v>104</v>
      </c>
      <c r="J49" s="68">
        <v>13842.02</v>
      </c>
      <c r="K49" s="69"/>
      <c r="L49" s="79">
        <v>5985.3309156194109</v>
      </c>
      <c r="M49" s="71">
        <v>5985.3309156194109</v>
      </c>
      <c r="N49" s="72" t="s">
        <v>92</v>
      </c>
      <c r="O49" s="64" t="s">
        <v>181</v>
      </c>
    </row>
    <row r="50" spans="1:15" ht="20.25" hidden="1" customHeight="1">
      <c r="A50" s="63">
        <v>44</v>
      </c>
      <c r="B50" s="63">
        <v>21</v>
      </c>
      <c r="C50" s="62" t="s">
        <v>35</v>
      </c>
      <c r="D50" s="65" t="s">
        <v>182</v>
      </c>
      <c r="E50" s="66">
        <v>1803.7806697198953</v>
      </c>
      <c r="F50" s="66">
        <v>0</v>
      </c>
      <c r="G50" s="66">
        <v>2107.3424059456652</v>
      </c>
      <c r="H50" s="66">
        <v>2107.3424059456652</v>
      </c>
      <c r="I50" s="78" t="s">
        <v>123</v>
      </c>
      <c r="J50" s="68">
        <v>0</v>
      </c>
      <c r="K50" s="80"/>
      <c r="L50" s="81"/>
      <c r="M50" s="82">
        <v>0</v>
      </c>
      <c r="N50" s="72" t="s">
        <v>126</v>
      </c>
      <c r="O50" s="64" t="s">
        <v>183</v>
      </c>
    </row>
    <row r="51" spans="1:15" ht="20.25" customHeight="1">
      <c r="A51" s="63">
        <v>45</v>
      </c>
      <c r="B51" s="63">
        <v>22</v>
      </c>
      <c r="C51" s="62" t="s">
        <v>35</v>
      </c>
      <c r="D51" s="65" t="s">
        <v>184</v>
      </c>
      <c r="E51" s="66">
        <v>8619.8457677146998</v>
      </c>
      <c r="F51" s="66">
        <v>0</v>
      </c>
      <c r="G51" s="66">
        <v>5424.969454713897</v>
      </c>
      <c r="H51" s="66">
        <v>5424.969454713897</v>
      </c>
      <c r="I51" s="77" t="s">
        <v>104</v>
      </c>
      <c r="J51" s="68">
        <v>14925</v>
      </c>
      <c r="K51" s="69"/>
      <c r="L51" s="79">
        <v>8619.8457677146998</v>
      </c>
      <c r="M51" s="71">
        <v>8619.8457677146998</v>
      </c>
      <c r="N51" s="72" t="s">
        <v>116</v>
      </c>
      <c r="O51" s="64" t="s">
        <v>185</v>
      </c>
    </row>
    <row r="52" spans="1:15" ht="20.25" hidden="1" customHeight="1">
      <c r="A52" s="63">
        <v>46</v>
      </c>
      <c r="B52" s="63">
        <v>23</v>
      </c>
      <c r="C52" s="62" t="s">
        <v>35</v>
      </c>
      <c r="D52" s="65" t="s">
        <v>186</v>
      </c>
      <c r="E52" s="66">
        <v>7172.868078957229</v>
      </c>
      <c r="F52" s="66">
        <v>0</v>
      </c>
      <c r="G52" s="66">
        <v>4030.8485471830395</v>
      </c>
      <c r="H52" s="66">
        <v>4030.8485471830395</v>
      </c>
      <c r="I52" s="78" t="s">
        <v>123</v>
      </c>
      <c r="J52" s="68">
        <v>0</v>
      </c>
      <c r="K52" s="80"/>
      <c r="L52" s="81"/>
      <c r="M52" s="82">
        <v>0</v>
      </c>
      <c r="N52" s="72" t="s">
        <v>126</v>
      </c>
      <c r="O52" s="64" t="s">
        <v>187</v>
      </c>
    </row>
    <row r="53" spans="1:15" ht="20.25" hidden="1" customHeight="1">
      <c r="A53" s="63">
        <v>47</v>
      </c>
      <c r="B53" s="63">
        <v>24</v>
      </c>
      <c r="C53" s="62" t="s">
        <v>35</v>
      </c>
      <c r="D53" s="65" t="s">
        <v>188</v>
      </c>
      <c r="E53" s="66">
        <v>5732.0075520253959</v>
      </c>
      <c r="F53" s="66">
        <v>0</v>
      </c>
      <c r="G53" s="66">
        <v>5492.9864213771652</v>
      </c>
      <c r="H53" s="66">
        <v>5492.9864213771652</v>
      </c>
      <c r="I53" s="77" t="s">
        <v>123</v>
      </c>
      <c r="J53" s="68">
        <v>0</v>
      </c>
      <c r="K53" s="80"/>
      <c r="L53" s="81"/>
      <c r="M53" s="82">
        <v>0</v>
      </c>
      <c r="N53" s="72" t="s">
        <v>116</v>
      </c>
      <c r="O53" s="64" t="s">
        <v>189</v>
      </c>
    </row>
    <row r="54" spans="1:15" ht="20.25" hidden="1" customHeight="1">
      <c r="A54" s="63">
        <v>48</v>
      </c>
      <c r="B54" s="63">
        <v>25</v>
      </c>
      <c r="C54" s="62" t="s">
        <v>35</v>
      </c>
      <c r="D54" s="65" t="s">
        <v>190</v>
      </c>
      <c r="E54" s="66">
        <v>6853.9901522076962</v>
      </c>
      <c r="F54" s="66">
        <v>1763.4456365847805</v>
      </c>
      <c r="G54" s="66">
        <v>10360.246004732933</v>
      </c>
      <c r="H54" s="66">
        <v>12123.691641317713</v>
      </c>
      <c r="I54" s="78" t="s">
        <v>123</v>
      </c>
      <c r="J54" s="68">
        <v>0</v>
      </c>
      <c r="K54" s="80"/>
      <c r="L54" s="81"/>
      <c r="M54" s="82">
        <v>0</v>
      </c>
      <c r="N54" s="72" t="s">
        <v>126</v>
      </c>
      <c r="O54" s="64" t="s">
        <v>191</v>
      </c>
    </row>
    <row r="55" spans="1:15" ht="20.25" customHeight="1">
      <c r="A55" s="63">
        <v>49</v>
      </c>
      <c r="B55" s="63">
        <v>26</v>
      </c>
      <c r="C55" s="62" t="s">
        <v>35</v>
      </c>
      <c r="D55" s="65" t="s">
        <v>192</v>
      </c>
      <c r="E55" s="66">
        <v>1121.316687374479</v>
      </c>
      <c r="F55" s="66">
        <v>70.292155595366282</v>
      </c>
      <c r="G55" s="66">
        <v>1096.5210876656029</v>
      </c>
      <c r="H55" s="66">
        <v>1166.8132432609691</v>
      </c>
      <c r="I55" s="77" t="s">
        <v>104</v>
      </c>
      <c r="J55" s="68">
        <v>5093</v>
      </c>
      <c r="K55" s="69"/>
      <c r="L55" s="79">
        <v>1121.316687374479</v>
      </c>
      <c r="M55" s="71">
        <v>1121.316687374479</v>
      </c>
      <c r="N55" s="72" t="s">
        <v>116</v>
      </c>
      <c r="O55" s="64" t="s">
        <v>193</v>
      </c>
    </row>
    <row r="56" spans="1:15" ht="20.25" customHeight="1">
      <c r="A56" s="63">
        <v>50</v>
      </c>
      <c r="B56" s="63">
        <v>27</v>
      </c>
      <c r="C56" s="62" t="s">
        <v>35</v>
      </c>
      <c r="D56" s="65" t="s">
        <v>194</v>
      </c>
      <c r="E56" s="84">
        <v>7289.1745488215875</v>
      </c>
      <c r="F56" s="66">
        <v>0</v>
      </c>
      <c r="G56" s="66">
        <v>6583.5569576911266</v>
      </c>
      <c r="H56" s="66">
        <v>6583.5569576911266</v>
      </c>
      <c r="I56" s="78" t="s">
        <v>91</v>
      </c>
      <c r="J56" s="68">
        <v>17558</v>
      </c>
      <c r="K56" s="69">
        <v>5940</v>
      </c>
      <c r="L56" s="70"/>
      <c r="M56" s="71">
        <v>5940</v>
      </c>
      <c r="N56" s="72" t="s">
        <v>92</v>
      </c>
      <c r="O56" s="64" t="s">
        <v>195</v>
      </c>
    </row>
    <row r="57" spans="1:15" ht="20.25" customHeight="1">
      <c r="A57" s="63">
        <v>51</v>
      </c>
      <c r="B57" s="63">
        <v>28</v>
      </c>
      <c r="C57" s="62" t="s">
        <v>35</v>
      </c>
      <c r="D57" s="65" t="s">
        <v>196</v>
      </c>
      <c r="E57" s="66">
        <v>28024.873580235962</v>
      </c>
      <c r="F57" s="66">
        <v>465.79421421820427</v>
      </c>
      <c r="G57" s="66">
        <v>29199.778593691379</v>
      </c>
      <c r="H57" s="66">
        <v>29665.572807909582</v>
      </c>
      <c r="I57" s="77" t="s">
        <v>91</v>
      </c>
      <c r="J57" s="68">
        <v>29048</v>
      </c>
      <c r="K57" s="69">
        <v>25547</v>
      </c>
      <c r="L57" s="70"/>
      <c r="M57" s="71">
        <v>25547</v>
      </c>
      <c r="N57" s="72" t="s">
        <v>116</v>
      </c>
      <c r="O57" s="64" t="s">
        <v>149</v>
      </c>
    </row>
    <row r="58" spans="1:15" ht="20.25" hidden="1" customHeight="1">
      <c r="A58" s="63">
        <v>52</v>
      </c>
      <c r="B58" s="63">
        <v>29</v>
      </c>
      <c r="C58" s="62" t="s">
        <v>35</v>
      </c>
      <c r="D58" s="65" t="s">
        <v>197</v>
      </c>
      <c r="E58" s="66">
        <v>25342.688443598079</v>
      </c>
      <c r="F58" s="66">
        <v>942.10209756850634</v>
      </c>
      <c r="G58" s="66">
        <v>26788.229412783308</v>
      </c>
      <c r="H58" s="66">
        <v>27730.331510351814</v>
      </c>
      <c r="I58" s="78" t="s">
        <v>123</v>
      </c>
      <c r="J58" s="68">
        <v>0</v>
      </c>
      <c r="K58" s="80"/>
      <c r="L58" s="81"/>
      <c r="M58" s="82">
        <v>0</v>
      </c>
      <c r="N58" s="72" t="s">
        <v>116</v>
      </c>
      <c r="O58" s="64" t="s">
        <v>198</v>
      </c>
    </row>
    <row r="59" spans="1:15" ht="20.25" hidden="1" customHeight="1">
      <c r="A59" s="63">
        <v>53</v>
      </c>
      <c r="B59" s="63">
        <v>30</v>
      </c>
      <c r="C59" s="62" t="s">
        <v>35</v>
      </c>
      <c r="D59" s="65" t="s">
        <v>199</v>
      </c>
      <c r="E59" s="66">
        <v>12377.260492368505</v>
      </c>
      <c r="F59" s="66">
        <v>1056.4532831382317</v>
      </c>
      <c r="G59" s="66">
        <v>12590.06451683084</v>
      </c>
      <c r="H59" s="66">
        <v>13646.517799969071</v>
      </c>
      <c r="I59" s="77" t="s">
        <v>123</v>
      </c>
      <c r="J59" s="68">
        <v>0</v>
      </c>
      <c r="K59" s="80"/>
      <c r="L59" s="81"/>
      <c r="M59" s="82">
        <v>0</v>
      </c>
      <c r="N59" s="72" t="s">
        <v>116</v>
      </c>
      <c r="O59" s="64" t="s">
        <v>200</v>
      </c>
    </row>
    <row r="60" spans="1:15" ht="20.25" customHeight="1">
      <c r="A60" s="63">
        <v>54</v>
      </c>
      <c r="B60" s="63">
        <v>31</v>
      </c>
      <c r="C60" s="62" t="s">
        <v>35</v>
      </c>
      <c r="D60" s="65" t="s">
        <v>201</v>
      </c>
      <c r="E60" s="66">
        <v>8533.2463356540557</v>
      </c>
      <c r="F60" s="66">
        <v>334.80560273306031</v>
      </c>
      <c r="G60" s="66">
        <v>8856.7313184472932</v>
      </c>
      <c r="H60" s="66">
        <v>9191.5369211803536</v>
      </c>
      <c r="I60" s="78" t="s">
        <v>91</v>
      </c>
      <c r="J60" s="68">
        <v>10076</v>
      </c>
      <c r="K60" s="69">
        <v>8469</v>
      </c>
      <c r="L60" s="70"/>
      <c r="M60" s="71">
        <v>8469</v>
      </c>
      <c r="N60" s="72" t="s">
        <v>97</v>
      </c>
      <c r="O60" s="64" t="s">
        <v>202</v>
      </c>
    </row>
    <row r="61" spans="1:15" ht="20.25" customHeight="1">
      <c r="A61" s="63">
        <v>55</v>
      </c>
      <c r="B61" s="63">
        <v>32</v>
      </c>
      <c r="C61" s="62" t="s">
        <v>35</v>
      </c>
      <c r="D61" s="65" t="s">
        <v>203</v>
      </c>
      <c r="E61" s="66">
        <v>20534.533927261415</v>
      </c>
      <c r="F61" s="66">
        <v>326.7724170372523</v>
      </c>
      <c r="G61" s="66">
        <v>18554.288825657641</v>
      </c>
      <c r="H61" s="66">
        <v>18881.061242694894</v>
      </c>
      <c r="I61" s="77" t="s">
        <v>91</v>
      </c>
      <c r="J61" s="68">
        <v>20734.78</v>
      </c>
      <c r="K61" s="69">
        <v>20253.3883748929</v>
      </c>
      <c r="L61" s="70"/>
      <c r="M61" s="71">
        <v>20253.3883748929</v>
      </c>
      <c r="N61" s="72" t="s">
        <v>97</v>
      </c>
      <c r="O61" s="64" t="s">
        <v>204</v>
      </c>
    </row>
    <row r="62" spans="1:15" ht="20.25" customHeight="1">
      <c r="A62" s="63">
        <v>56</v>
      </c>
      <c r="B62" s="63">
        <v>33</v>
      </c>
      <c r="C62" s="62" t="s">
        <v>35</v>
      </c>
      <c r="D62" s="65" t="s">
        <v>205</v>
      </c>
      <c r="E62" s="66">
        <v>17083.588922450879</v>
      </c>
      <c r="F62" s="66">
        <v>330.3928199974136</v>
      </c>
      <c r="G62" s="66">
        <v>16918.456235766076</v>
      </c>
      <c r="H62" s="66">
        <v>17248.84905576349</v>
      </c>
      <c r="I62" s="78" t="s">
        <v>104</v>
      </c>
      <c r="J62" s="68">
        <v>20105.599999999999</v>
      </c>
      <c r="K62" s="69">
        <v>0</v>
      </c>
      <c r="L62" s="85">
        <v>17083.588922450879</v>
      </c>
      <c r="M62" s="71">
        <v>17083.588922450879</v>
      </c>
      <c r="N62" s="72" t="s">
        <v>97</v>
      </c>
      <c r="O62" s="64" t="s">
        <v>206</v>
      </c>
    </row>
    <row r="63" spans="1:15" ht="20.25" customHeight="1">
      <c r="A63" s="63">
        <v>57</v>
      </c>
      <c r="B63" s="63">
        <v>1</v>
      </c>
      <c r="C63" s="62" t="s">
        <v>36</v>
      </c>
      <c r="D63" s="65" t="s">
        <v>207</v>
      </c>
      <c r="E63" s="66">
        <v>23654.853048173587</v>
      </c>
      <c r="F63" s="66">
        <v>349.48889540711747</v>
      </c>
      <c r="G63" s="66">
        <v>22651.823622952881</v>
      </c>
      <c r="H63" s="66">
        <v>23001.312518359999</v>
      </c>
      <c r="I63" s="77" t="s">
        <v>91</v>
      </c>
      <c r="J63" s="68">
        <v>18402</v>
      </c>
      <c r="K63" s="69">
        <v>14835</v>
      </c>
      <c r="L63" s="70"/>
      <c r="M63" s="71">
        <v>14835</v>
      </c>
      <c r="N63" s="72" t="s">
        <v>97</v>
      </c>
      <c r="O63" s="64" t="s">
        <v>208</v>
      </c>
    </row>
    <row r="64" spans="1:15" ht="20.25" customHeight="1">
      <c r="A64" s="63">
        <v>58</v>
      </c>
      <c r="B64" s="63">
        <v>2</v>
      </c>
      <c r="C64" s="62" t="s">
        <v>36</v>
      </c>
      <c r="D64" s="65" t="s">
        <v>209</v>
      </c>
      <c r="E64" s="66">
        <v>4941.7531862958376</v>
      </c>
      <c r="F64" s="66">
        <v>45.626654243224543</v>
      </c>
      <c r="G64" s="66">
        <v>4583.636368488932</v>
      </c>
      <c r="H64" s="66">
        <v>4629.263022732157</v>
      </c>
      <c r="I64" s="78" t="s">
        <v>91</v>
      </c>
      <c r="J64" s="68">
        <v>4603.38</v>
      </c>
      <c r="K64" s="69">
        <v>3386</v>
      </c>
      <c r="L64" s="70"/>
      <c r="M64" s="71">
        <v>3386</v>
      </c>
      <c r="N64" s="72" t="s">
        <v>126</v>
      </c>
      <c r="O64" s="64" t="s">
        <v>210</v>
      </c>
    </row>
    <row r="65" spans="1:15" ht="20.25" hidden="1" customHeight="1">
      <c r="A65" s="63">
        <v>59</v>
      </c>
      <c r="B65" s="63">
        <v>3</v>
      </c>
      <c r="C65" s="62" t="s">
        <v>36</v>
      </c>
      <c r="D65" s="65" t="s">
        <v>211</v>
      </c>
      <c r="E65" s="66">
        <v>895.03558117484135</v>
      </c>
      <c r="F65" s="66">
        <v>0</v>
      </c>
      <c r="G65" s="66">
        <v>1693.2476790645492</v>
      </c>
      <c r="H65" s="66">
        <v>1693.2476790645492</v>
      </c>
      <c r="I65" s="77" t="s">
        <v>123</v>
      </c>
      <c r="J65" s="68">
        <v>0</v>
      </c>
      <c r="K65" s="80"/>
      <c r="L65" s="81"/>
      <c r="M65" s="82">
        <v>0</v>
      </c>
      <c r="N65" s="72" t="s">
        <v>116</v>
      </c>
      <c r="O65" s="64" t="s">
        <v>212</v>
      </c>
    </row>
    <row r="66" spans="1:15" ht="20.25" hidden="1" customHeight="1">
      <c r="A66" s="63">
        <v>60</v>
      </c>
      <c r="B66" s="63">
        <v>4</v>
      </c>
      <c r="C66" s="62" t="s">
        <v>36</v>
      </c>
      <c r="D66" s="65" t="s">
        <v>213</v>
      </c>
      <c r="E66" s="66">
        <v>383.5095647347153</v>
      </c>
      <c r="F66" s="66">
        <v>0</v>
      </c>
      <c r="G66" s="66">
        <v>376.25951017741272</v>
      </c>
      <c r="H66" s="66">
        <v>376.25951017741272</v>
      </c>
      <c r="I66" s="78" t="s">
        <v>123</v>
      </c>
      <c r="J66" s="68">
        <v>0</v>
      </c>
      <c r="K66" s="80"/>
      <c r="L66" s="81"/>
      <c r="M66" s="82">
        <v>0</v>
      </c>
      <c r="N66" s="72" t="s">
        <v>116</v>
      </c>
      <c r="O66" s="64" t="s">
        <v>214</v>
      </c>
    </row>
    <row r="67" spans="1:15" ht="20.25" customHeight="1">
      <c r="A67" s="63">
        <v>61</v>
      </c>
      <c r="B67" s="63">
        <v>5</v>
      </c>
      <c r="C67" s="62" t="s">
        <v>36</v>
      </c>
      <c r="D67" s="65" t="s">
        <v>215</v>
      </c>
      <c r="E67" s="66">
        <v>5841.6257267284327</v>
      </c>
      <c r="F67" s="66">
        <v>12.37205616521635</v>
      </c>
      <c r="G67" s="66">
        <v>4345.3657570760197</v>
      </c>
      <c r="H67" s="66">
        <v>4357.7378132412359</v>
      </c>
      <c r="I67" s="77" t="s">
        <v>104</v>
      </c>
      <c r="J67" s="68">
        <v>2817.86</v>
      </c>
      <c r="K67" s="69"/>
      <c r="L67" s="79">
        <v>2817.86</v>
      </c>
      <c r="M67" s="71">
        <v>2817.86</v>
      </c>
      <c r="N67" s="72" t="s">
        <v>116</v>
      </c>
      <c r="O67" s="64" t="s">
        <v>216</v>
      </c>
    </row>
    <row r="68" spans="1:15" ht="20.25" customHeight="1">
      <c r="A68" s="63">
        <v>62</v>
      </c>
      <c r="B68" s="63">
        <v>6</v>
      </c>
      <c r="C68" s="62" t="s">
        <v>36</v>
      </c>
      <c r="D68" s="65" t="s">
        <v>217</v>
      </c>
      <c r="E68" s="66">
        <v>552.30450255674111</v>
      </c>
      <c r="F68" s="66">
        <v>0</v>
      </c>
      <c r="G68" s="66">
        <v>483.66696948732431</v>
      </c>
      <c r="H68" s="66">
        <v>483.66696948732431</v>
      </c>
      <c r="I68" s="78" t="s">
        <v>91</v>
      </c>
      <c r="J68" s="68">
        <v>147.05000000000001</v>
      </c>
      <c r="K68" s="69">
        <v>142</v>
      </c>
      <c r="L68" s="70"/>
      <c r="M68" s="71">
        <v>142</v>
      </c>
      <c r="N68" s="72" t="s">
        <v>126</v>
      </c>
      <c r="O68" s="64" t="s">
        <v>218</v>
      </c>
    </row>
    <row r="69" spans="1:15" ht="20.25" customHeight="1">
      <c r="A69" s="63">
        <v>63</v>
      </c>
      <c r="B69" s="63">
        <v>7</v>
      </c>
      <c r="C69" s="62" t="s">
        <v>36</v>
      </c>
      <c r="D69" s="65" t="s">
        <v>219</v>
      </c>
      <c r="E69" s="66">
        <v>2996.3822376647713</v>
      </c>
      <c r="F69" s="66">
        <v>0</v>
      </c>
      <c r="G69" s="66">
        <v>1646.4772412645791</v>
      </c>
      <c r="H69" s="66">
        <v>1646.4772412645791</v>
      </c>
      <c r="I69" s="77" t="s">
        <v>104</v>
      </c>
      <c r="J69" s="68">
        <v>1601</v>
      </c>
      <c r="K69" s="69"/>
      <c r="L69" s="79">
        <v>1601</v>
      </c>
      <c r="M69" s="71">
        <v>1601</v>
      </c>
      <c r="N69" s="72" t="s">
        <v>116</v>
      </c>
      <c r="O69" s="64" t="s">
        <v>220</v>
      </c>
    </row>
    <row r="70" spans="1:15" ht="20.25" customHeight="1">
      <c r="A70" s="63">
        <v>64</v>
      </c>
      <c r="B70" s="63">
        <v>8</v>
      </c>
      <c r="C70" s="62" t="s">
        <v>36</v>
      </c>
      <c r="D70" s="65" t="s">
        <v>221</v>
      </c>
      <c r="E70" s="66">
        <v>2803.2111179015492</v>
      </c>
      <c r="F70" s="66">
        <v>0</v>
      </c>
      <c r="G70" s="66">
        <v>2644.1824216423024</v>
      </c>
      <c r="H70" s="66">
        <v>2644.1824216423024</v>
      </c>
      <c r="I70" s="78" t="s">
        <v>91</v>
      </c>
      <c r="J70" s="68">
        <v>1745</v>
      </c>
      <c r="K70" s="69">
        <v>1544</v>
      </c>
      <c r="L70" s="70"/>
      <c r="M70" s="71">
        <v>1544</v>
      </c>
      <c r="N70" s="72" t="s">
        <v>116</v>
      </c>
      <c r="O70" s="64" t="s">
        <v>155</v>
      </c>
    </row>
    <row r="71" spans="1:15" ht="20.25" hidden="1" customHeight="1">
      <c r="A71" s="63">
        <v>65</v>
      </c>
      <c r="B71" s="63">
        <v>9</v>
      </c>
      <c r="C71" s="62" t="s">
        <v>36</v>
      </c>
      <c r="D71" s="65" t="s">
        <v>222</v>
      </c>
      <c r="E71" s="66">
        <v>1327.4064315333644</v>
      </c>
      <c r="F71" s="66">
        <v>8.3099996371883105</v>
      </c>
      <c r="G71" s="66">
        <v>1542.7654047089704</v>
      </c>
      <c r="H71" s="66">
        <v>1551.0754043461588</v>
      </c>
      <c r="I71" s="77" t="s">
        <v>123</v>
      </c>
      <c r="J71" s="68">
        <v>0</v>
      </c>
      <c r="K71" s="80"/>
      <c r="L71" s="81"/>
      <c r="M71" s="82">
        <v>0</v>
      </c>
      <c r="N71" s="72" t="s">
        <v>116</v>
      </c>
      <c r="O71" s="64" t="s">
        <v>223</v>
      </c>
    </row>
    <row r="72" spans="1:15" ht="20.25" customHeight="1">
      <c r="A72" s="63">
        <v>66</v>
      </c>
      <c r="B72" s="63">
        <v>10</v>
      </c>
      <c r="C72" s="62" t="s">
        <v>36</v>
      </c>
      <c r="D72" s="65" t="s">
        <v>224</v>
      </c>
      <c r="E72" s="66">
        <v>1143.1113912762846</v>
      </c>
      <c r="F72" s="66">
        <v>4.5044543687100003</v>
      </c>
      <c r="G72" s="66">
        <v>861.88064133785599</v>
      </c>
      <c r="H72" s="66">
        <v>866.38509570656595</v>
      </c>
      <c r="I72" s="78" t="s">
        <v>104</v>
      </c>
      <c r="J72" s="68">
        <v>611</v>
      </c>
      <c r="K72" s="69"/>
      <c r="L72" s="79">
        <v>611</v>
      </c>
      <c r="M72" s="71">
        <v>611</v>
      </c>
      <c r="N72" s="72" t="s">
        <v>116</v>
      </c>
      <c r="O72" s="64" t="s">
        <v>225</v>
      </c>
    </row>
    <row r="73" spans="1:15" ht="20.25" customHeight="1">
      <c r="A73" s="63">
        <v>67</v>
      </c>
      <c r="B73" s="63">
        <v>11</v>
      </c>
      <c r="C73" s="62" t="s">
        <v>36</v>
      </c>
      <c r="D73" s="65" t="s">
        <v>226</v>
      </c>
      <c r="E73" s="66">
        <v>19426.492025371288</v>
      </c>
      <c r="F73" s="66">
        <v>89.754106744219385</v>
      </c>
      <c r="G73" s="66">
        <v>17495.683380879669</v>
      </c>
      <c r="H73" s="66">
        <v>17585.437487623887</v>
      </c>
      <c r="I73" s="77" t="s">
        <v>104</v>
      </c>
      <c r="J73" s="68">
        <v>18259</v>
      </c>
      <c r="K73" s="69"/>
      <c r="L73" s="79">
        <v>18259</v>
      </c>
      <c r="M73" s="71">
        <v>18259</v>
      </c>
      <c r="N73" s="72" t="s">
        <v>116</v>
      </c>
      <c r="O73" s="64" t="s">
        <v>227</v>
      </c>
    </row>
    <row r="74" spans="1:15" ht="20.25" customHeight="1">
      <c r="A74" s="63">
        <v>68</v>
      </c>
      <c r="B74" s="63">
        <v>12</v>
      </c>
      <c r="C74" s="62" t="s">
        <v>36</v>
      </c>
      <c r="D74" s="65" t="s">
        <v>228</v>
      </c>
      <c r="E74" s="66">
        <v>18365.530221913777</v>
      </c>
      <c r="F74" s="66">
        <v>5.2035854176421532</v>
      </c>
      <c r="G74" s="66">
        <v>20601.541375643257</v>
      </c>
      <c r="H74" s="66">
        <v>20606.7449610609</v>
      </c>
      <c r="I74" s="78" t="s">
        <v>91</v>
      </c>
      <c r="J74" s="68">
        <v>22735</v>
      </c>
      <c r="K74" s="69">
        <v>13503</v>
      </c>
      <c r="L74" s="70"/>
      <c r="M74" s="71">
        <v>13503</v>
      </c>
      <c r="N74" s="72" t="s">
        <v>116</v>
      </c>
      <c r="O74" s="64" t="s">
        <v>155</v>
      </c>
    </row>
    <row r="75" spans="1:15" ht="20.25" customHeight="1">
      <c r="A75" s="63">
        <v>69</v>
      </c>
      <c r="B75" s="63">
        <v>13</v>
      </c>
      <c r="C75" s="62" t="s">
        <v>36</v>
      </c>
      <c r="D75" s="65" t="s">
        <v>229</v>
      </c>
      <c r="E75" s="66">
        <v>17751.540424370301</v>
      </c>
      <c r="F75" s="66">
        <v>176.30668137555043</v>
      </c>
      <c r="G75" s="66">
        <v>15989.954281329576</v>
      </c>
      <c r="H75" s="66">
        <v>16166.260962705126</v>
      </c>
      <c r="I75" s="77" t="s">
        <v>91</v>
      </c>
      <c r="J75" s="68">
        <v>17346.925999999999</v>
      </c>
      <c r="K75" s="69">
        <v>16571.154826000002</v>
      </c>
      <c r="L75" s="70"/>
      <c r="M75" s="71">
        <v>16571.154826000002</v>
      </c>
      <c r="N75" s="72" t="s">
        <v>97</v>
      </c>
      <c r="O75" s="64" t="s">
        <v>230</v>
      </c>
    </row>
    <row r="76" spans="1:15" ht="20.25" customHeight="1">
      <c r="A76" s="63">
        <v>70</v>
      </c>
      <c r="B76" s="63">
        <v>14</v>
      </c>
      <c r="C76" s="62" t="s">
        <v>36</v>
      </c>
      <c r="D76" s="65" t="s">
        <v>231</v>
      </c>
      <c r="E76" s="66">
        <v>8872.9282717311053</v>
      </c>
      <c r="F76" s="66">
        <v>50.112829546830362</v>
      </c>
      <c r="G76" s="66">
        <v>7140.2892405551283</v>
      </c>
      <c r="H76" s="66">
        <v>7190.402070101959</v>
      </c>
      <c r="I76" s="78" t="s">
        <v>91</v>
      </c>
      <c r="J76" s="68">
        <v>9390</v>
      </c>
      <c r="K76" s="69">
        <v>7828.9168040000004</v>
      </c>
      <c r="L76" s="70"/>
      <c r="M76" s="71">
        <v>7828.9168040000004</v>
      </c>
      <c r="N76" s="72" t="s">
        <v>97</v>
      </c>
      <c r="O76" s="76" t="s">
        <v>232</v>
      </c>
    </row>
    <row r="77" spans="1:15" ht="20.25" customHeight="1">
      <c r="A77" s="63">
        <v>71</v>
      </c>
      <c r="B77" s="63">
        <v>15</v>
      </c>
      <c r="C77" s="62" t="s">
        <v>36</v>
      </c>
      <c r="D77" s="65" t="s">
        <v>233</v>
      </c>
      <c r="E77" s="66">
        <v>23885.105385055442</v>
      </c>
      <c r="F77" s="66">
        <v>234.88382910232215</v>
      </c>
      <c r="G77" s="66">
        <v>22596.934767339382</v>
      </c>
      <c r="H77" s="66">
        <v>22831.818596441706</v>
      </c>
      <c r="I77" s="77" t="s">
        <v>91</v>
      </c>
      <c r="J77" s="68">
        <v>22746.1</v>
      </c>
      <c r="K77" s="69">
        <v>19212</v>
      </c>
      <c r="L77" s="70"/>
      <c r="M77" s="71">
        <v>19212</v>
      </c>
      <c r="N77" s="72" t="s">
        <v>126</v>
      </c>
      <c r="O77" s="64" t="s">
        <v>234</v>
      </c>
    </row>
    <row r="78" spans="1:15" ht="20.25" customHeight="1">
      <c r="A78" s="63">
        <v>72</v>
      </c>
      <c r="B78" s="63">
        <v>16</v>
      </c>
      <c r="C78" s="62" t="s">
        <v>36</v>
      </c>
      <c r="D78" s="65" t="s">
        <v>235</v>
      </c>
      <c r="E78" s="66">
        <v>10867.287466268239</v>
      </c>
      <c r="F78" s="66">
        <v>262.16917828496821</v>
      </c>
      <c r="G78" s="66">
        <v>10106.146034147658</v>
      </c>
      <c r="H78" s="66">
        <v>10368.315212432626</v>
      </c>
      <c r="I78" s="78" t="s">
        <v>91</v>
      </c>
      <c r="J78" s="68">
        <v>10098.64</v>
      </c>
      <c r="K78" s="69">
        <v>9488</v>
      </c>
      <c r="L78" s="70"/>
      <c r="M78" s="71">
        <v>9488</v>
      </c>
      <c r="N78" s="72" t="s">
        <v>97</v>
      </c>
      <c r="O78" s="76" t="s">
        <v>236</v>
      </c>
    </row>
    <row r="79" spans="1:15" ht="20.25" customHeight="1">
      <c r="A79" s="63">
        <v>73</v>
      </c>
      <c r="B79" s="63">
        <v>17</v>
      </c>
      <c r="C79" s="62" t="s">
        <v>36</v>
      </c>
      <c r="D79" s="65" t="s">
        <v>237</v>
      </c>
      <c r="E79" s="66">
        <v>20561.479368018274</v>
      </c>
      <c r="F79" s="66">
        <v>465.45794237870757</v>
      </c>
      <c r="G79" s="66">
        <v>22202.493117481281</v>
      </c>
      <c r="H79" s="66">
        <v>22667.951059859988</v>
      </c>
      <c r="I79" s="77" t="s">
        <v>91</v>
      </c>
      <c r="J79" s="68">
        <v>19524.55</v>
      </c>
      <c r="K79" s="69">
        <v>15831</v>
      </c>
      <c r="L79" s="70"/>
      <c r="M79" s="71">
        <v>15831</v>
      </c>
      <c r="N79" s="72" t="s">
        <v>92</v>
      </c>
      <c r="O79" s="76" t="s">
        <v>238</v>
      </c>
    </row>
    <row r="80" spans="1:15" ht="20.25" customHeight="1">
      <c r="A80" s="63">
        <v>74</v>
      </c>
      <c r="B80" s="63">
        <v>18</v>
      </c>
      <c r="C80" s="62" t="s">
        <v>36</v>
      </c>
      <c r="D80" s="65" t="s">
        <v>239</v>
      </c>
      <c r="E80" s="66">
        <v>8102.8563347897043</v>
      </c>
      <c r="F80" s="66">
        <v>197.61036569382739</v>
      </c>
      <c r="G80" s="66">
        <v>8596.260787461857</v>
      </c>
      <c r="H80" s="66">
        <v>8793.8711531556837</v>
      </c>
      <c r="I80" s="78" t="s">
        <v>104</v>
      </c>
      <c r="J80" s="68">
        <v>9570</v>
      </c>
      <c r="K80" s="69"/>
      <c r="L80" s="79">
        <v>8102.8563347897043</v>
      </c>
      <c r="M80" s="71">
        <v>8102.8563347897043</v>
      </c>
      <c r="N80" s="72" t="s">
        <v>116</v>
      </c>
      <c r="O80" s="64" t="s">
        <v>223</v>
      </c>
    </row>
    <row r="81" spans="1:15" ht="20.25" customHeight="1">
      <c r="A81" s="63">
        <v>75</v>
      </c>
      <c r="B81" s="63">
        <v>19</v>
      </c>
      <c r="C81" s="62" t="s">
        <v>36</v>
      </c>
      <c r="D81" s="65" t="s">
        <v>240</v>
      </c>
      <c r="E81" s="66">
        <v>21909.374729297306</v>
      </c>
      <c r="F81" s="66">
        <v>36.135251488204794</v>
      </c>
      <c r="G81" s="66">
        <v>21024.791498243259</v>
      </c>
      <c r="H81" s="66">
        <v>21060.926749731465</v>
      </c>
      <c r="I81" s="77" t="s">
        <v>104</v>
      </c>
      <c r="J81" s="68">
        <v>22742</v>
      </c>
      <c r="K81" s="69"/>
      <c r="L81" s="79">
        <v>21909.374729297306</v>
      </c>
      <c r="M81" s="71">
        <v>21909.374729297306</v>
      </c>
      <c r="N81" s="72" t="s">
        <v>116</v>
      </c>
      <c r="O81" s="64" t="s">
        <v>220</v>
      </c>
    </row>
    <row r="82" spans="1:15" ht="20.25" customHeight="1">
      <c r="A82" s="63">
        <v>76</v>
      </c>
      <c r="B82" s="63">
        <v>1</v>
      </c>
      <c r="C82" s="64" t="s">
        <v>37</v>
      </c>
      <c r="D82" s="65" t="s">
        <v>241</v>
      </c>
      <c r="E82" s="84">
        <v>2992.418267408932</v>
      </c>
      <c r="F82" s="66">
        <v>1.3202741587088</v>
      </c>
      <c r="G82" s="66">
        <v>2727.9769203836227</v>
      </c>
      <c r="H82" s="66">
        <v>2729.2971945423315</v>
      </c>
      <c r="I82" s="78" t="s">
        <v>104</v>
      </c>
      <c r="J82" s="68">
        <v>2040</v>
      </c>
      <c r="K82" s="69"/>
      <c r="L82" s="79">
        <v>2040</v>
      </c>
      <c r="M82" s="71">
        <v>2040</v>
      </c>
      <c r="N82" s="72" t="s">
        <v>116</v>
      </c>
      <c r="O82" s="64" t="s">
        <v>159</v>
      </c>
    </row>
    <row r="83" spans="1:15" ht="20.25" customHeight="1">
      <c r="A83" s="63">
        <v>77</v>
      </c>
      <c r="B83" s="63">
        <v>2</v>
      </c>
      <c r="C83" s="64" t="s">
        <v>37</v>
      </c>
      <c r="D83" s="65" t="s">
        <v>242</v>
      </c>
      <c r="E83" s="84">
        <v>19020.549055126812</v>
      </c>
      <c r="F83" s="66">
        <v>0</v>
      </c>
      <c r="G83" s="66">
        <v>16539.392055026317</v>
      </c>
      <c r="H83" s="66">
        <v>16539.392055026317</v>
      </c>
      <c r="I83" s="77" t="s">
        <v>104</v>
      </c>
      <c r="J83" s="68">
        <v>13630</v>
      </c>
      <c r="K83" s="69"/>
      <c r="L83" s="79">
        <v>13630</v>
      </c>
      <c r="M83" s="71">
        <v>13630</v>
      </c>
      <c r="N83" s="72" t="s">
        <v>126</v>
      </c>
      <c r="O83" s="64" t="s">
        <v>243</v>
      </c>
    </row>
    <row r="84" spans="1:15" ht="20.25" customHeight="1">
      <c r="A84" s="63">
        <v>78</v>
      </c>
      <c r="B84" s="63">
        <v>3</v>
      </c>
      <c r="C84" s="64" t="s">
        <v>37</v>
      </c>
      <c r="D84" s="65" t="s">
        <v>244</v>
      </c>
      <c r="E84" s="66">
        <v>2667.2948232347826</v>
      </c>
      <c r="F84" s="66">
        <v>3.2742436647819999E-2</v>
      </c>
      <c r="G84" s="66">
        <v>2307.7601371583855</v>
      </c>
      <c r="H84" s="66">
        <v>2307.7928795950334</v>
      </c>
      <c r="I84" s="78" t="s">
        <v>104</v>
      </c>
      <c r="J84" s="68">
        <v>1602</v>
      </c>
      <c r="K84" s="69"/>
      <c r="L84" s="79">
        <v>1602</v>
      </c>
      <c r="M84" s="71">
        <v>1602</v>
      </c>
      <c r="N84" s="72" t="s">
        <v>116</v>
      </c>
      <c r="O84" s="64" t="s">
        <v>183</v>
      </c>
    </row>
    <row r="85" spans="1:15" ht="20.25" customHeight="1">
      <c r="A85" s="63">
        <v>79</v>
      </c>
      <c r="B85" s="63">
        <v>4</v>
      </c>
      <c r="C85" s="64" t="s">
        <v>37</v>
      </c>
      <c r="D85" s="65" t="s">
        <v>245</v>
      </c>
      <c r="E85" s="66">
        <v>3220.4184385371937</v>
      </c>
      <c r="F85" s="66">
        <v>1.17878102543046</v>
      </c>
      <c r="G85" s="66">
        <v>2558.405693255163</v>
      </c>
      <c r="H85" s="66">
        <v>2559.5844742805934</v>
      </c>
      <c r="I85" s="77" t="s">
        <v>91</v>
      </c>
      <c r="J85" s="68">
        <v>6302</v>
      </c>
      <c r="K85" s="69">
        <v>3022.68</v>
      </c>
      <c r="L85" s="70"/>
      <c r="M85" s="71">
        <v>3022.68</v>
      </c>
      <c r="N85" s="72" t="s">
        <v>116</v>
      </c>
      <c r="O85" s="64" t="s">
        <v>246</v>
      </c>
    </row>
    <row r="86" spans="1:15" ht="21" customHeight="1">
      <c r="A86" s="63">
        <v>80</v>
      </c>
      <c r="B86" s="63">
        <v>5</v>
      </c>
      <c r="C86" s="64" t="s">
        <v>37</v>
      </c>
      <c r="D86" s="65" t="s">
        <v>247</v>
      </c>
      <c r="E86" s="66">
        <v>3436.2346712048179</v>
      </c>
      <c r="F86" s="66">
        <v>0</v>
      </c>
      <c r="G86" s="66">
        <v>3309.4946164597941</v>
      </c>
      <c r="H86" s="66">
        <v>3309.4946164597941</v>
      </c>
      <c r="I86" s="78" t="s">
        <v>91</v>
      </c>
      <c r="J86" s="68">
        <v>3709</v>
      </c>
      <c r="K86" s="69">
        <v>3096</v>
      </c>
      <c r="L86" s="70"/>
      <c r="M86" s="71">
        <v>3096</v>
      </c>
      <c r="N86" s="72" t="s">
        <v>116</v>
      </c>
      <c r="O86" s="64" t="s">
        <v>248</v>
      </c>
    </row>
    <row r="87" spans="1:15" ht="20.25" customHeight="1">
      <c r="A87" s="63">
        <v>81</v>
      </c>
      <c r="B87" s="63">
        <v>6</v>
      </c>
      <c r="C87" s="64" t="s">
        <v>37</v>
      </c>
      <c r="D87" s="65" t="s">
        <v>249</v>
      </c>
      <c r="E87" s="66">
        <v>217.36462130400599</v>
      </c>
      <c r="F87" s="66">
        <v>0</v>
      </c>
      <c r="G87" s="66">
        <v>386.13435264594295</v>
      </c>
      <c r="H87" s="66">
        <v>386.13435264594295</v>
      </c>
      <c r="I87" s="77" t="s">
        <v>91</v>
      </c>
      <c r="J87" s="68">
        <v>155</v>
      </c>
      <c r="K87" s="69">
        <v>146</v>
      </c>
      <c r="L87" s="70"/>
      <c r="M87" s="71">
        <v>146</v>
      </c>
      <c r="N87" s="72" t="s">
        <v>116</v>
      </c>
      <c r="O87" s="64" t="s">
        <v>250</v>
      </c>
    </row>
    <row r="88" spans="1:15" ht="20.25" hidden="1" customHeight="1">
      <c r="A88" s="63">
        <v>82</v>
      </c>
      <c r="B88" s="63">
        <v>7</v>
      </c>
      <c r="C88" s="64" t="s">
        <v>37</v>
      </c>
      <c r="D88" s="65" t="s">
        <v>251</v>
      </c>
      <c r="E88" s="66">
        <v>3.2713721111999998</v>
      </c>
      <c r="F88" s="66">
        <v>0</v>
      </c>
      <c r="G88" s="66">
        <v>0</v>
      </c>
      <c r="H88" s="66">
        <v>0</v>
      </c>
      <c r="I88" s="78" t="s">
        <v>123</v>
      </c>
      <c r="J88" s="68">
        <v>0</v>
      </c>
      <c r="K88" s="80"/>
      <c r="L88" s="81"/>
      <c r="M88" s="82">
        <v>0</v>
      </c>
      <c r="N88" s="72" t="s">
        <v>116</v>
      </c>
      <c r="O88" s="64" t="s">
        <v>252</v>
      </c>
    </row>
    <row r="89" spans="1:15" ht="20.25" hidden="1" customHeight="1">
      <c r="A89" s="63">
        <v>83</v>
      </c>
      <c r="B89" s="63">
        <v>8</v>
      </c>
      <c r="C89" s="64" t="s">
        <v>37</v>
      </c>
      <c r="D89" s="65" t="s">
        <v>253</v>
      </c>
      <c r="E89" s="66">
        <v>6212.5789780315899</v>
      </c>
      <c r="F89" s="66">
        <v>0</v>
      </c>
      <c r="G89" s="66">
        <v>5689.9671401315791</v>
      </c>
      <c r="H89" s="66">
        <v>5689.9671401315791</v>
      </c>
      <c r="I89" s="77" t="s">
        <v>123</v>
      </c>
      <c r="J89" s="68">
        <v>0</v>
      </c>
      <c r="K89" s="80"/>
      <c r="L89" s="81"/>
      <c r="M89" s="82">
        <v>0</v>
      </c>
      <c r="N89" s="72" t="s">
        <v>116</v>
      </c>
      <c r="O89" s="64" t="s">
        <v>254</v>
      </c>
    </row>
    <row r="90" spans="1:15" ht="20.25" customHeight="1">
      <c r="A90" s="63">
        <v>84</v>
      </c>
      <c r="B90" s="63">
        <v>9</v>
      </c>
      <c r="C90" s="64" t="s">
        <v>37</v>
      </c>
      <c r="D90" s="65" t="s">
        <v>255</v>
      </c>
      <c r="E90" s="66">
        <v>6718.2441787090147</v>
      </c>
      <c r="F90" s="66">
        <v>151.03450969448903</v>
      </c>
      <c r="G90" s="66">
        <v>6369.7610248047849</v>
      </c>
      <c r="H90" s="66">
        <v>6520.7955344992743</v>
      </c>
      <c r="I90" s="78" t="s">
        <v>91</v>
      </c>
      <c r="J90" s="68">
        <v>7463</v>
      </c>
      <c r="K90" s="69">
        <v>6371</v>
      </c>
      <c r="L90" s="70"/>
      <c r="M90" s="71">
        <v>6371</v>
      </c>
      <c r="N90" s="72" t="s">
        <v>116</v>
      </c>
      <c r="O90" s="64" t="s">
        <v>256</v>
      </c>
    </row>
    <row r="91" spans="1:15" ht="20.25" hidden="1" customHeight="1">
      <c r="A91" s="63">
        <v>85</v>
      </c>
      <c r="B91" s="63">
        <v>10</v>
      </c>
      <c r="C91" s="64" t="s">
        <v>37</v>
      </c>
      <c r="D91" s="65" t="s">
        <v>257</v>
      </c>
      <c r="E91" s="66">
        <v>12185.639641195788</v>
      </c>
      <c r="F91" s="66">
        <v>64.330392549653993</v>
      </c>
      <c r="G91" s="66">
        <v>13483.89412318165</v>
      </c>
      <c r="H91" s="66">
        <v>13548.224515731305</v>
      </c>
      <c r="I91" s="77" t="s">
        <v>123</v>
      </c>
      <c r="J91" s="68">
        <v>0</v>
      </c>
      <c r="K91" s="80"/>
      <c r="L91" s="81"/>
      <c r="M91" s="82">
        <v>0</v>
      </c>
      <c r="N91" s="72" t="s">
        <v>126</v>
      </c>
      <c r="O91" s="64" t="s">
        <v>258</v>
      </c>
    </row>
    <row r="92" spans="1:15" ht="20.25" customHeight="1">
      <c r="A92" s="63">
        <v>86</v>
      </c>
      <c r="B92" s="63">
        <v>11</v>
      </c>
      <c r="C92" s="64" t="s">
        <v>37</v>
      </c>
      <c r="D92" s="65" t="s">
        <v>259</v>
      </c>
      <c r="E92" s="66">
        <v>1683.6422707623726</v>
      </c>
      <c r="F92" s="66">
        <v>0</v>
      </c>
      <c r="G92" s="66">
        <v>1450.7072366509776</v>
      </c>
      <c r="H92" s="66">
        <v>1450.7072366509776</v>
      </c>
      <c r="I92" s="78" t="s">
        <v>91</v>
      </c>
      <c r="J92" s="68">
        <v>1945</v>
      </c>
      <c r="K92" s="69">
        <v>1563.6647809999999</v>
      </c>
      <c r="L92" s="70"/>
      <c r="M92" s="71">
        <v>1563.6647809999999</v>
      </c>
      <c r="N92" s="72" t="s">
        <v>116</v>
      </c>
      <c r="O92" s="64" t="s">
        <v>260</v>
      </c>
    </row>
    <row r="93" spans="1:15" ht="20.25" customHeight="1">
      <c r="A93" s="63">
        <v>87</v>
      </c>
      <c r="B93" s="63">
        <v>12</v>
      </c>
      <c r="C93" s="64" t="s">
        <v>37</v>
      </c>
      <c r="D93" s="65" t="s">
        <v>261</v>
      </c>
      <c r="E93" s="66">
        <v>4331.7072122638456</v>
      </c>
      <c r="F93" s="66">
        <v>9.0722408803798</v>
      </c>
      <c r="G93" s="66">
        <v>4130.0864565442262</v>
      </c>
      <c r="H93" s="66">
        <v>4139.1586974246056</v>
      </c>
      <c r="I93" s="77" t="s">
        <v>91</v>
      </c>
      <c r="J93" s="68">
        <v>4423</v>
      </c>
      <c r="K93" s="69">
        <v>3939</v>
      </c>
      <c r="L93" s="70"/>
      <c r="M93" s="71">
        <v>3939</v>
      </c>
      <c r="N93" s="72" t="s">
        <v>116</v>
      </c>
      <c r="O93" s="64" t="s">
        <v>262</v>
      </c>
    </row>
    <row r="94" spans="1:15" ht="20.25" customHeight="1">
      <c r="A94" s="63">
        <v>88</v>
      </c>
      <c r="B94" s="63">
        <v>1</v>
      </c>
      <c r="C94" s="62" t="s">
        <v>43</v>
      </c>
      <c r="D94" s="65" t="s">
        <v>263</v>
      </c>
      <c r="E94" s="66">
        <v>154.31830745484098</v>
      </c>
      <c r="F94" s="66">
        <v>0</v>
      </c>
      <c r="G94" s="66">
        <v>70.582275180711605</v>
      </c>
      <c r="H94" s="66">
        <v>70.582275180711605</v>
      </c>
      <c r="I94" s="78" t="s">
        <v>91</v>
      </c>
      <c r="J94" s="68">
        <v>67.33</v>
      </c>
      <c r="K94" s="69">
        <v>26</v>
      </c>
      <c r="L94" s="70"/>
      <c r="M94" s="71">
        <v>26</v>
      </c>
      <c r="N94" s="72" t="s">
        <v>116</v>
      </c>
      <c r="O94" s="64" t="s">
        <v>262</v>
      </c>
    </row>
    <row r="95" spans="1:15" ht="20.25" customHeight="1">
      <c r="A95" s="63">
        <v>89</v>
      </c>
      <c r="B95" s="63">
        <v>2</v>
      </c>
      <c r="C95" s="62" t="s">
        <v>43</v>
      </c>
      <c r="D95" s="65" t="s">
        <v>264</v>
      </c>
      <c r="E95" s="66">
        <v>182.8231245867737</v>
      </c>
      <c r="F95" s="66">
        <v>0</v>
      </c>
      <c r="G95" s="66">
        <v>50.007310243154997</v>
      </c>
      <c r="H95" s="66">
        <v>50.007310243154997</v>
      </c>
      <c r="I95" s="77" t="s">
        <v>91</v>
      </c>
      <c r="J95" s="68">
        <v>119</v>
      </c>
      <c r="K95" s="69">
        <v>96</v>
      </c>
      <c r="L95" s="70"/>
      <c r="M95" s="71">
        <v>96</v>
      </c>
      <c r="N95" s="72" t="s">
        <v>116</v>
      </c>
      <c r="O95" s="64" t="s">
        <v>265</v>
      </c>
    </row>
    <row r="96" spans="1:15" ht="20.25" customHeight="1">
      <c r="A96" s="63">
        <v>90</v>
      </c>
      <c r="B96" s="63">
        <v>3</v>
      </c>
      <c r="C96" s="62" t="s">
        <v>43</v>
      </c>
      <c r="D96" s="65" t="s">
        <v>266</v>
      </c>
      <c r="E96" s="66">
        <v>99.28278363217899</v>
      </c>
      <c r="F96" s="66">
        <v>0</v>
      </c>
      <c r="G96" s="66">
        <v>95.164239902881988</v>
      </c>
      <c r="H96" s="66">
        <v>95.164239902881988</v>
      </c>
      <c r="I96" s="78" t="s">
        <v>104</v>
      </c>
      <c r="J96" s="68">
        <v>342</v>
      </c>
      <c r="K96" s="69"/>
      <c r="L96" s="79">
        <v>99.28278363217899</v>
      </c>
      <c r="M96" s="71">
        <v>99.28278363217899</v>
      </c>
      <c r="N96" s="72" t="s">
        <v>116</v>
      </c>
      <c r="O96" s="64" t="s">
        <v>267</v>
      </c>
    </row>
    <row r="97" spans="1:15" ht="20.25" hidden="1" customHeight="1">
      <c r="A97" s="63">
        <v>91</v>
      </c>
      <c r="B97" s="63">
        <v>4</v>
      </c>
      <c r="C97" s="62" t="s">
        <v>43</v>
      </c>
      <c r="D97" s="65" t="s">
        <v>268</v>
      </c>
      <c r="E97" s="66">
        <v>0</v>
      </c>
      <c r="F97" s="66">
        <v>0</v>
      </c>
      <c r="G97" s="66">
        <v>0</v>
      </c>
      <c r="H97" s="66">
        <v>0</v>
      </c>
      <c r="I97" s="77" t="s">
        <v>123</v>
      </c>
      <c r="J97" s="68">
        <v>0</v>
      </c>
      <c r="K97" s="80"/>
      <c r="L97" s="81"/>
      <c r="M97" s="82">
        <v>0</v>
      </c>
      <c r="N97" s="72" t="s">
        <v>116</v>
      </c>
      <c r="O97" s="64" t="s">
        <v>265</v>
      </c>
    </row>
    <row r="98" spans="1:15" ht="20.25" hidden="1" customHeight="1">
      <c r="A98" s="63">
        <v>92</v>
      </c>
      <c r="B98" s="63">
        <v>5</v>
      </c>
      <c r="C98" s="62" t="s">
        <v>43</v>
      </c>
      <c r="D98" s="65" t="s">
        <v>269</v>
      </c>
      <c r="E98" s="66">
        <v>1.325343384300141</v>
      </c>
      <c r="F98" s="66">
        <v>0</v>
      </c>
      <c r="G98" s="66">
        <v>0</v>
      </c>
      <c r="H98" s="66">
        <v>0</v>
      </c>
      <c r="I98" s="78" t="s">
        <v>123</v>
      </c>
      <c r="J98" s="68">
        <v>0</v>
      </c>
      <c r="K98" s="80"/>
      <c r="L98" s="81"/>
      <c r="M98" s="82">
        <v>0</v>
      </c>
      <c r="N98" s="72" t="s">
        <v>116</v>
      </c>
      <c r="O98" s="64" t="s">
        <v>270</v>
      </c>
    </row>
    <row r="99" spans="1:15" ht="20.25" customHeight="1">
      <c r="A99" s="63">
        <v>93</v>
      </c>
      <c r="B99" s="63">
        <v>6</v>
      </c>
      <c r="C99" s="62" t="s">
        <v>43</v>
      </c>
      <c r="D99" s="65" t="s">
        <v>271</v>
      </c>
      <c r="E99" s="66">
        <v>514.61319385260401</v>
      </c>
      <c r="F99" s="66">
        <v>0</v>
      </c>
      <c r="G99" s="66">
        <v>253.45095681099681</v>
      </c>
      <c r="H99" s="66">
        <v>253.45095681099681</v>
      </c>
      <c r="I99" s="77" t="s">
        <v>104</v>
      </c>
      <c r="J99" s="68">
        <v>1320</v>
      </c>
      <c r="K99" s="69"/>
      <c r="L99" s="79">
        <v>514.61319385260401</v>
      </c>
      <c r="M99" s="71">
        <v>514.61319385260401</v>
      </c>
      <c r="N99" s="72" t="s">
        <v>116</v>
      </c>
      <c r="O99" s="64" t="s">
        <v>167</v>
      </c>
    </row>
    <row r="100" spans="1:15" ht="20.25" customHeight="1">
      <c r="A100" s="63">
        <v>94</v>
      </c>
      <c r="B100" s="63">
        <v>7</v>
      </c>
      <c r="C100" s="62" t="s">
        <v>43</v>
      </c>
      <c r="D100" s="65" t="s">
        <v>272</v>
      </c>
      <c r="E100" s="66">
        <v>442.12406838048526</v>
      </c>
      <c r="F100" s="66">
        <v>0</v>
      </c>
      <c r="G100" s="66">
        <v>413.73322612122797</v>
      </c>
      <c r="H100" s="66">
        <v>413.73322612122797</v>
      </c>
      <c r="I100" s="78" t="s">
        <v>91</v>
      </c>
      <c r="J100" s="68">
        <v>1840</v>
      </c>
      <c r="K100" s="69">
        <v>389</v>
      </c>
      <c r="L100" s="70"/>
      <c r="M100" s="71">
        <v>389</v>
      </c>
      <c r="N100" s="72" t="s">
        <v>116</v>
      </c>
      <c r="O100" s="64" t="s">
        <v>273</v>
      </c>
    </row>
    <row r="101" spans="1:15" ht="20.25" customHeight="1">
      <c r="A101" s="63">
        <v>95</v>
      </c>
      <c r="B101" s="63">
        <v>1</v>
      </c>
      <c r="C101" s="62" t="s">
        <v>38</v>
      </c>
      <c r="D101" s="65" t="s">
        <v>274</v>
      </c>
      <c r="E101" s="66">
        <v>7287.3484691504718</v>
      </c>
      <c r="F101" s="66">
        <v>12.084424137468799</v>
      </c>
      <c r="G101" s="66">
        <v>8244.2169102626031</v>
      </c>
      <c r="H101" s="66">
        <v>8256.3013344000719</v>
      </c>
      <c r="I101" s="77" t="s">
        <v>91</v>
      </c>
      <c r="J101" s="68">
        <v>8612.9</v>
      </c>
      <c r="K101" s="69">
        <v>6707.5667263485102</v>
      </c>
      <c r="L101" s="75"/>
      <c r="M101" s="71">
        <v>6707.5667263485102</v>
      </c>
      <c r="N101" s="72" t="s">
        <v>97</v>
      </c>
      <c r="O101" s="64" t="s">
        <v>275</v>
      </c>
    </row>
    <row r="102" spans="1:15" ht="20.25" customHeight="1">
      <c r="A102" s="63">
        <v>96</v>
      </c>
      <c r="B102" s="63">
        <v>2</v>
      </c>
      <c r="C102" s="62" t="s">
        <v>38</v>
      </c>
      <c r="D102" s="65" t="s">
        <v>276</v>
      </c>
      <c r="E102" s="66">
        <v>4439.0625036094234</v>
      </c>
      <c r="F102" s="66">
        <v>249.72403217798208</v>
      </c>
      <c r="G102" s="66">
        <v>4400.3120169277017</v>
      </c>
      <c r="H102" s="66">
        <v>4650.0360491056836</v>
      </c>
      <c r="I102" s="78" t="s">
        <v>91</v>
      </c>
      <c r="J102" s="68">
        <v>5288</v>
      </c>
      <c r="K102" s="69">
        <v>4205</v>
      </c>
      <c r="L102" s="70"/>
      <c r="M102" s="71">
        <v>4205</v>
      </c>
      <c r="N102" s="72" t="s">
        <v>97</v>
      </c>
      <c r="O102" s="64" t="s">
        <v>277</v>
      </c>
    </row>
    <row r="103" spans="1:15" ht="20.25" customHeight="1">
      <c r="A103" s="63">
        <v>97</v>
      </c>
      <c r="B103" s="63">
        <v>3</v>
      </c>
      <c r="C103" s="62" t="s">
        <v>38</v>
      </c>
      <c r="D103" s="65" t="s">
        <v>278</v>
      </c>
      <c r="E103" s="66">
        <v>12876.112196200453</v>
      </c>
      <c r="F103" s="66">
        <v>867.19914736790702</v>
      </c>
      <c r="G103" s="66">
        <v>13288.660680016867</v>
      </c>
      <c r="H103" s="66">
        <v>14155.859827384773</v>
      </c>
      <c r="I103" s="77" t="s">
        <v>104</v>
      </c>
      <c r="J103" s="68">
        <v>33022</v>
      </c>
      <c r="K103" s="69"/>
      <c r="L103" s="79">
        <v>12876.112196200453</v>
      </c>
      <c r="M103" s="71">
        <v>12876.112196200453</v>
      </c>
      <c r="N103" s="72" t="s">
        <v>116</v>
      </c>
      <c r="O103" s="64" t="s">
        <v>279</v>
      </c>
    </row>
    <row r="104" spans="1:15" ht="20.25" customHeight="1">
      <c r="A104" s="63">
        <v>98</v>
      </c>
      <c r="B104" s="63">
        <v>4</v>
      </c>
      <c r="C104" s="62" t="s">
        <v>38</v>
      </c>
      <c r="D104" s="65" t="s">
        <v>280</v>
      </c>
      <c r="E104" s="66">
        <v>520.3251967200689</v>
      </c>
      <c r="F104" s="66">
        <v>0</v>
      </c>
      <c r="G104" s="66">
        <v>459.33231131269486</v>
      </c>
      <c r="H104" s="66">
        <v>459.33231131269486</v>
      </c>
      <c r="I104" s="78" t="s">
        <v>104</v>
      </c>
      <c r="J104" s="68">
        <v>459</v>
      </c>
      <c r="K104" s="69"/>
      <c r="L104" s="79">
        <v>459</v>
      </c>
      <c r="M104" s="71">
        <v>459</v>
      </c>
      <c r="N104" s="72" t="s">
        <v>116</v>
      </c>
      <c r="O104" s="64" t="s">
        <v>281</v>
      </c>
    </row>
    <row r="105" spans="1:15" ht="20.25" customHeight="1">
      <c r="A105" s="63">
        <v>99</v>
      </c>
      <c r="B105" s="63">
        <v>5</v>
      </c>
      <c r="C105" s="62" t="s">
        <v>38</v>
      </c>
      <c r="D105" s="65" t="s">
        <v>282</v>
      </c>
      <c r="E105" s="66">
        <v>3951.8564539220347</v>
      </c>
      <c r="F105" s="66">
        <v>0</v>
      </c>
      <c r="G105" s="66">
        <v>3506.9459797288205</v>
      </c>
      <c r="H105" s="66">
        <v>3506.9459797288205</v>
      </c>
      <c r="I105" s="78" t="s">
        <v>91</v>
      </c>
      <c r="J105" s="68">
        <v>3002</v>
      </c>
      <c r="K105" s="86" t="s">
        <v>283</v>
      </c>
      <c r="L105" s="79"/>
      <c r="M105" s="71" t="str">
        <f>K105</f>
        <v>2993,73</v>
      </c>
      <c r="N105" s="72" t="s">
        <v>116</v>
      </c>
      <c r="O105" s="64" t="s">
        <v>225</v>
      </c>
    </row>
    <row r="106" spans="1:15" ht="20.25" customHeight="1">
      <c r="A106" s="63">
        <v>100</v>
      </c>
      <c r="B106" s="63">
        <v>6</v>
      </c>
      <c r="C106" s="62" t="s">
        <v>38</v>
      </c>
      <c r="D106" s="65" t="s">
        <v>284</v>
      </c>
      <c r="E106" s="66">
        <v>5786.7880307676705</v>
      </c>
      <c r="F106" s="66">
        <v>146.7947879363538</v>
      </c>
      <c r="G106" s="66">
        <v>5092.5316232673958</v>
      </c>
      <c r="H106" s="66">
        <v>5239.3264112037496</v>
      </c>
      <c r="I106" s="78" t="s">
        <v>104</v>
      </c>
      <c r="J106" s="68">
        <v>43213.71</v>
      </c>
      <c r="K106" s="69"/>
      <c r="L106" s="79">
        <v>5786.7880307676705</v>
      </c>
      <c r="M106" s="71">
        <v>5786.7880307676705</v>
      </c>
      <c r="N106" s="72" t="s">
        <v>116</v>
      </c>
      <c r="O106" s="64" t="s">
        <v>285</v>
      </c>
    </row>
    <row r="107" spans="1:15" ht="20.25" customHeight="1">
      <c r="A107" s="63">
        <v>101</v>
      </c>
      <c r="B107" s="63">
        <v>7</v>
      </c>
      <c r="C107" s="62" t="s">
        <v>38</v>
      </c>
      <c r="D107" s="65" t="s">
        <v>286</v>
      </c>
      <c r="E107" s="66">
        <v>6370.92216481783</v>
      </c>
      <c r="F107" s="66">
        <v>169.28037206441053</v>
      </c>
      <c r="G107" s="66">
        <v>5569.592592967444</v>
      </c>
      <c r="H107" s="66">
        <v>5738.8729650318546</v>
      </c>
      <c r="I107" s="77" t="s">
        <v>104</v>
      </c>
      <c r="J107" s="68">
        <v>28154.400000000001</v>
      </c>
      <c r="K107" s="69"/>
      <c r="L107" s="79">
        <v>6370.92216481783</v>
      </c>
      <c r="M107" s="71">
        <v>6370.92216481783</v>
      </c>
      <c r="N107" s="72" t="s">
        <v>116</v>
      </c>
      <c r="O107" s="64" t="s">
        <v>287</v>
      </c>
    </row>
    <row r="108" spans="1:15" ht="20.25" customHeight="1">
      <c r="A108" s="63">
        <v>102</v>
      </c>
      <c r="B108" s="63">
        <v>8</v>
      </c>
      <c r="C108" s="62" t="s">
        <v>38</v>
      </c>
      <c r="D108" s="65" t="s">
        <v>288</v>
      </c>
      <c r="E108" s="66">
        <v>3835.2564298252005</v>
      </c>
      <c r="F108" s="66">
        <v>117.13253876348159</v>
      </c>
      <c r="G108" s="66">
        <v>3843.5096640549168</v>
      </c>
      <c r="H108" s="66">
        <v>3960.6422028183983</v>
      </c>
      <c r="I108" s="78" t="s">
        <v>104</v>
      </c>
      <c r="J108" s="68">
        <v>5003.8599999999997</v>
      </c>
      <c r="K108" s="69"/>
      <c r="L108" s="79">
        <v>3835.2564298252005</v>
      </c>
      <c r="M108" s="71">
        <v>3835.2564298252005</v>
      </c>
      <c r="N108" s="72" t="s">
        <v>126</v>
      </c>
      <c r="O108" s="64" t="s">
        <v>289</v>
      </c>
    </row>
    <row r="109" spans="1:15" ht="20.25" customHeight="1">
      <c r="A109" s="63">
        <v>103</v>
      </c>
      <c r="B109" s="63">
        <v>9</v>
      </c>
      <c r="C109" s="62" t="s">
        <v>38</v>
      </c>
      <c r="D109" s="65" t="s">
        <v>290</v>
      </c>
      <c r="E109" s="66">
        <v>7818.8543339398757</v>
      </c>
      <c r="F109" s="66">
        <v>9.0044401131743985</v>
      </c>
      <c r="G109" s="66">
        <v>8211.424523640846</v>
      </c>
      <c r="H109" s="66">
        <v>8220.4289637540205</v>
      </c>
      <c r="I109" s="77" t="s">
        <v>91</v>
      </c>
      <c r="J109" s="68">
        <v>8960.57</v>
      </c>
      <c r="K109" s="69">
        <v>7319.2635599330797</v>
      </c>
      <c r="L109" s="75"/>
      <c r="M109" s="71">
        <v>7319.2635599330797</v>
      </c>
      <c r="N109" s="72" t="s">
        <v>97</v>
      </c>
      <c r="O109" s="64" t="s">
        <v>291</v>
      </c>
    </row>
    <row r="110" spans="1:15" ht="20.25" customHeight="1">
      <c r="A110" s="63">
        <v>104</v>
      </c>
      <c r="B110" s="63">
        <v>10</v>
      </c>
      <c r="C110" s="62" t="s">
        <v>38</v>
      </c>
      <c r="D110" s="65" t="s">
        <v>292</v>
      </c>
      <c r="E110" s="66">
        <v>10523.333537295153</v>
      </c>
      <c r="F110" s="66">
        <v>218.30278927528201</v>
      </c>
      <c r="G110" s="66">
        <v>10305.528007966241</v>
      </c>
      <c r="H110" s="66">
        <v>10523.830797241522</v>
      </c>
      <c r="I110" s="78" t="s">
        <v>104</v>
      </c>
      <c r="J110" s="68">
        <v>17000</v>
      </c>
      <c r="K110" s="69"/>
      <c r="L110" s="79">
        <v>10523.333537295153</v>
      </c>
      <c r="M110" s="71">
        <v>10523.333537295153</v>
      </c>
      <c r="N110" s="72" t="s">
        <v>116</v>
      </c>
      <c r="O110" s="64" t="s">
        <v>293</v>
      </c>
    </row>
    <row r="111" spans="1:15" ht="20.25" customHeight="1">
      <c r="A111" s="63">
        <v>105</v>
      </c>
      <c r="B111" s="63">
        <v>11</v>
      </c>
      <c r="C111" s="62" t="s">
        <v>38</v>
      </c>
      <c r="D111" s="65" t="s">
        <v>294</v>
      </c>
      <c r="E111" s="66">
        <v>4939.4830959302863</v>
      </c>
      <c r="F111" s="66">
        <v>139.6878314689464</v>
      </c>
      <c r="G111" s="66">
        <v>5109.4813948081801</v>
      </c>
      <c r="H111" s="66">
        <v>5249.1692262771267</v>
      </c>
      <c r="I111" s="77" t="s">
        <v>104</v>
      </c>
      <c r="J111" s="68">
        <v>6213</v>
      </c>
      <c r="K111" s="69"/>
      <c r="L111" s="79">
        <v>4939.4830959302863</v>
      </c>
      <c r="M111" s="71">
        <v>4939.4830959302863</v>
      </c>
      <c r="N111" s="72" t="s">
        <v>116</v>
      </c>
      <c r="O111" s="64" t="s">
        <v>183</v>
      </c>
    </row>
    <row r="112" spans="1:15" ht="20.25" customHeight="1">
      <c r="A112" s="63">
        <v>106</v>
      </c>
      <c r="B112" s="63">
        <v>1</v>
      </c>
      <c r="C112" s="64" t="s">
        <v>40</v>
      </c>
      <c r="D112" s="65" t="s">
        <v>295</v>
      </c>
      <c r="E112" s="84">
        <v>8329.3106324087821</v>
      </c>
      <c r="F112" s="66">
        <v>78.834201426900549</v>
      </c>
      <c r="G112" s="66">
        <v>7926.3599115466677</v>
      </c>
      <c r="H112" s="66">
        <v>8005.1941129735678</v>
      </c>
      <c r="I112" s="78" t="s">
        <v>104</v>
      </c>
      <c r="J112" s="68">
        <v>7630.3</v>
      </c>
      <c r="K112" s="69"/>
      <c r="L112" s="79">
        <v>7630.3</v>
      </c>
      <c r="M112" s="71">
        <v>7630.3</v>
      </c>
      <c r="N112" s="72" t="s">
        <v>126</v>
      </c>
      <c r="O112" s="64" t="s">
        <v>183</v>
      </c>
    </row>
    <row r="113" spans="1:15" ht="20.25" customHeight="1">
      <c r="A113" s="63">
        <v>107</v>
      </c>
      <c r="B113" s="63">
        <v>2</v>
      </c>
      <c r="C113" s="64" t="s">
        <v>40</v>
      </c>
      <c r="D113" s="65" t="s">
        <v>296</v>
      </c>
      <c r="E113" s="84">
        <v>2187.8853890418682</v>
      </c>
      <c r="F113" s="66">
        <v>156.97486890419759</v>
      </c>
      <c r="G113" s="66">
        <v>1865.3587389798442</v>
      </c>
      <c r="H113" s="66">
        <v>2022.3336078840418</v>
      </c>
      <c r="I113" s="77" t="s">
        <v>104</v>
      </c>
      <c r="J113" s="68">
        <v>6615</v>
      </c>
      <c r="K113" s="69"/>
      <c r="L113" s="79">
        <v>2187.8853890418682</v>
      </c>
      <c r="M113" s="71">
        <v>2187.8853890418682</v>
      </c>
      <c r="N113" s="72" t="s">
        <v>126</v>
      </c>
      <c r="O113" s="64" t="s">
        <v>297</v>
      </c>
    </row>
    <row r="114" spans="1:15" ht="20.25" customHeight="1">
      <c r="A114" s="63">
        <v>108</v>
      </c>
      <c r="B114" s="63">
        <v>3</v>
      </c>
      <c r="C114" s="64" t="s">
        <v>40</v>
      </c>
      <c r="D114" s="65" t="s">
        <v>298</v>
      </c>
      <c r="E114" s="84">
        <v>4591.9380982396933</v>
      </c>
      <c r="F114" s="66">
        <v>19.091638627875469</v>
      </c>
      <c r="G114" s="66">
        <v>3364.3012820221934</v>
      </c>
      <c r="H114" s="66">
        <v>3383.3929206500688</v>
      </c>
      <c r="I114" s="78" t="s">
        <v>104</v>
      </c>
      <c r="J114" s="68">
        <v>3463.96</v>
      </c>
      <c r="K114" s="69"/>
      <c r="L114" s="79">
        <v>3463.96</v>
      </c>
      <c r="M114" s="71">
        <v>3463.96</v>
      </c>
      <c r="N114" s="72" t="s">
        <v>92</v>
      </c>
      <c r="O114" s="64" t="s">
        <v>299</v>
      </c>
    </row>
    <row r="115" spans="1:15" ht="20.25" customHeight="1">
      <c r="A115" s="63">
        <v>109</v>
      </c>
      <c r="B115" s="63">
        <v>4</v>
      </c>
      <c r="C115" s="64" t="s">
        <v>40</v>
      </c>
      <c r="D115" s="65" t="s">
        <v>300</v>
      </c>
      <c r="E115" s="84">
        <v>6116.4050620521712</v>
      </c>
      <c r="F115" s="66">
        <v>14.714690615570898</v>
      </c>
      <c r="G115" s="66">
        <v>4953.671253874787</v>
      </c>
      <c r="H115" s="66">
        <v>4968.3859444903583</v>
      </c>
      <c r="I115" s="77" t="s">
        <v>91</v>
      </c>
      <c r="J115" s="68">
        <v>8283</v>
      </c>
      <c r="K115" s="69">
        <v>6017</v>
      </c>
      <c r="L115" s="70"/>
      <c r="M115" s="71">
        <v>6017</v>
      </c>
      <c r="N115" s="72" t="s">
        <v>116</v>
      </c>
      <c r="O115" s="64" t="s">
        <v>243</v>
      </c>
    </row>
    <row r="116" spans="1:15" ht="20.25" customHeight="1">
      <c r="A116" s="63">
        <v>110</v>
      </c>
      <c r="B116" s="63">
        <v>5</v>
      </c>
      <c r="C116" s="64" t="s">
        <v>40</v>
      </c>
      <c r="D116" s="65" t="s">
        <v>301</v>
      </c>
      <c r="E116" s="84">
        <v>3344.564602945627</v>
      </c>
      <c r="F116" s="66">
        <v>40.993037061736409</v>
      </c>
      <c r="G116" s="66">
        <v>3136.8531090327001</v>
      </c>
      <c r="H116" s="66">
        <v>3177.8461460944363</v>
      </c>
      <c r="I116" s="78" t="s">
        <v>104</v>
      </c>
      <c r="J116" s="68">
        <v>2841</v>
      </c>
      <c r="K116" s="69"/>
      <c r="L116" s="79">
        <v>2841</v>
      </c>
      <c r="M116" s="71">
        <v>2841</v>
      </c>
      <c r="N116" s="72" t="s">
        <v>97</v>
      </c>
      <c r="O116" s="64" t="s">
        <v>302</v>
      </c>
    </row>
    <row r="117" spans="1:15" ht="20.25" customHeight="1">
      <c r="A117" s="63">
        <v>111</v>
      </c>
      <c r="B117" s="63">
        <v>6</v>
      </c>
      <c r="C117" s="64" t="s">
        <v>40</v>
      </c>
      <c r="D117" s="65" t="s">
        <v>303</v>
      </c>
      <c r="E117" s="66">
        <v>580.00379746961005</v>
      </c>
      <c r="F117" s="66">
        <v>0.38799816959540001</v>
      </c>
      <c r="G117" s="66">
        <v>606.51490235687015</v>
      </c>
      <c r="H117" s="66">
        <v>606.9029005264656</v>
      </c>
      <c r="I117" s="77" t="s">
        <v>104</v>
      </c>
      <c r="J117" s="68">
        <v>462</v>
      </c>
      <c r="K117" s="69"/>
      <c r="L117" s="79">
        <v>462</v>
      </c>
      <c r="M117" s="71">
        <v>462</v>
      </c>
      <c r="N117" s="72" t="s">
        <v>116</v>
      </c>
      <c r="O117" s="64" t="s">
        <v>304</v>
      </c>
    </row>
    <row r="118" spans="1:15" ht="20.25" customHeight="1">
      <c r="A118" s="63">
        <v>112</v>
      </c>
      <c r="B118" s="63">
        <v>7</v>
      </c>
      <c r="C118" s="64" t="s">
        <v>40</v>
      </c>
      <c r="D118" s="65" t="s">
        <v>305</v>
      </c>
      <c r="E118" s="66">
        <v>8479.4587555665312</v>
      </c>
      <c r="F118" s="66">
        <v>173.82932193167383</v>
      </c>
      <c r="G118" s="66">
        <v>7422.3088544488137</v>
      </c>
      <c r="H118" s="66">
        <v>7596.1381763804875</v>
      </c>
      <c r="I118" s="78" t="s">
        <v>91</v>
      </c>
      <c r="J118" s="68">
        <v>9010.2099999999991</v>
      </c>
      <c r="K118" s="69">
        <v>8479</v>
      </c>
      <c r="L118" s="70"/>
      <c r="M118" s="71">
        <v>8479</v>
      </c>
      <c r="N118" s="72" t="s">
        <v>126</v>
      </c>
      <c r="O118" s="64" t="s">
        <v>265</v>
      </c>
    </row>
    <row r="119" spans="1:15" ht="20.25" customHeight="1">
      <c r="A119" s="63">
        <v>113</v>
      </c>
      <c r="B119" s="63">
        <v>8</v>
      </c>
      <c r="C119" s="64" t="s">
        <v>40</v>
      </c>
      <c r="D119" s="65" t="s">
        <v>306</v>
      </c>
      <c r="E119" s="66">
        <v>3391.9151384733791</v>
      </c>
      <c r="F119" s="66">
        <v>40.307860210969501</v>
      </c>
      <c r="G119" s="66">
        <v>3396.1665807245377</v>
      </c>
      <c r="H119" s="66">
        <v>3436.4744409355071</v>
      </c>
      <c r="I119" s="77" t="s">
        <v>104</v>
      </c>
      <c r="J119" s="68">
        <v>4675</v>
      </c>
      <c r="K119" s="69"/>
      <c r="L119" s="79">
        <v>3391.9151384733791</v>
      </c>
      <c r="M119" s="71">
        <v>3391.9151384733791</v>
      </c>
      <c r="N119" s="72" t="s">
        <v>126</v>
      </c>
      <c r="O119" s="64" t="s">
        <v>307</v>
      </c>
    </row>
    <row r="120" spans="1:15" ht="20.25" hidden="1" customHeight="1">
      <c r="A120" s="63">
        <v>114</v>
      </c>
      <c r="B120" s="63">
        <v>9</v>
      </c>
      <c r="C120" s="64" t="s">
        <v>40</v>
      </c>
      <c r="D120" s="65" t="s">
        <v>308</v>
      </c>
      <c r="E120" s="66">
        <v>5062.4979163508151</v>
      </c>
      <c r="F120" s="66">
        <v>4.1706394410170003E-2</v>
      </c>
      <c r="G120" s="66">
        <v>3859.3455054344645</v>
      </c>
      <c r="H120" s="66">
        <v>3859.3872118288746</v>
      </c>
      <c r="I120" s="78" t="s">
        <v>123</v>
      </c>
      <c r="J120" s="68">
        <v>0</v>
      </c>
      <c r="K120" s="80"/>
      <c r="L120" s="81"/>
      <c r="M120" s="82">
        <v>0</v>
      </c>
      <c r="N120" s="72" t="s">
        <v>116</v>
      </c>
      <c r="O120" s="64" t="s">
        <v>223</v>
      </c>
    </row>
    <row r="121" spans="1:15" ht="20.25" customHeight="1">
      <c r="A121" s="63">
        <v>115</v>
      </c>
      <c r="B121" s="63">
        <v>10</v>
      </c>
      <c r="C121" s="64" t="s">
        <v>40</v>
      </c>
      <c r="D121" s="65" t="s">
        <v>309</v>
      </c>
      <c r="E121" s="66">
        <v>8756.2320327696325</v>
      </c>
      <c r="F121" s="66">
        <v>162.92335011397989</v>
      </c>
      <c r="G121" s="66">
        <v>6327.8407124173318</v>
      </c>
      <c r="H121" s="66">
        <v>6490.7640625313115</v>
      </c>
      <c r="I121" s="77" t="s">
        <v>104</v>
      </c>
      <c r="J121" s="68">
        <v>8325.35</v>
      </c>
      <c r="K121" s="69"/>
      <c r="L121" s="79">
        <v>8325.35</v>
      </c>
      <c r="M121" s="71">
        <v>8325.35</v>
      </c>
      <c r="N121" s="72" t="s">
        <v>126</v>
      </c>
      <c r="O121" s="64" t="s">
        <v>227</v>
      </c>
    </row>
    <row r="122" spans="1:15" ht="20.25" customHeight="1">
      <c r="A122" s="63">
        <v>116</v>
      </c>
      <c r="B122" s="63">
        <v>1</v>
      </c>
      <c r="C122" s="62" t="s">
        <v>39</v>
      </c>
      <c r="D122" s="65" t="s">
        <v>310</v>
      </c>
      <c r="E122" s="66">
        <v>174370.85888540975</v>
      </c>
      <c r="F122" s="66">
        <v>14039.522694457857</v>
      </c>
      <c r="G122" s="66">
        <v>175305.66601475448</v>
      </c>
      <c r="H122" s="66">
        <v>189345.18870921232</v>
      </c>
      <c r="I122" s="78" t="s">
        <v>91</v>
      </c>
      <c r="J122" s="68">
        <v>104973</v>
      </c>
      <c r="K122" s="69">
        <v>104590.477313725</v>
      </c>
      <c r="L122" s="70"/>
      <c r="M122" s="71">
        <v>104590.477313725</v>
      </c>
      <c r="N122" s="72" t="s">
        <v>116</v>
      </c>
      <c r="O122" s="64" t="s">
        <v>311</v>
      </c>
    </row>
    <row r="123" spans="1:15" ht="20.25" customHeight="1">
      <c r="A123" s="63">
        <v>117</v>
      </c>
      <c r="B123" s="63">
        <v>2</v>
      </c>
      <c r="C123" s="64" t="s">
        <v>39</v>
      </c>
      <c r="D123" s="65" t="s">
        <v>312</v>
      </c>
      <c r="E123" s="84">
        <v>9339.6819357032382</v>
      </c>
      <c r="F123" s="66">
        <v>1.0781998444615</v>
      </c>
      <c r="G123" s="66">
        <v>9430.8172857893314</v>
      </c>
      <c r="H123" s="66">
        <v>9431.8954856337932</v>
      </c>
      <c r="I123" s="77" t="s">
        <v>91</v>
      </c>
      <c r="J123" s="68">
        <v>11562</v>
      </c>
      <c r="K123" s="69">
        <v>8182.5496300000004</v>
      </c>
      <c r="L123" s="75"/>
      <c r="M123" s="71">
        <v>8182.5496300000004</v>
      </c>
      <c r="N123" s="72" t="s">
        <v>126</v>
      </c>
      <c r="O123" s="64" t="s">
        <v>313</v>
      </c>
    </row>
    <row r="124" spans="1:15" ht="20.25" customHeight="1">
      <c r="A124" s="63">
        <v>118</v>
      </c>
      <c r="B124" s="63">
        <v>3</v>
      </c>
      <c r="C124" s="64" t="s">
        <v>39</v>
      </c>
      <c r="D124" s="65" t="s">
        <v>314</v>
      </c>
      <c r="E124" s="84">
        <v>1086.7443211401055</v>
      </c>
      <c r="F124" s="66">
        <v>70.90408732782295</v>
      </c>
      <c r="G124" s="66">
        <v>1058.4199045402895</v>
      </c>
      <c r="H124" s="66">
        <v>1129.3239918681124</v>
      </c>
      <c r="I124" s="78" t="s">
        <v>91</v>
      </c>
      <c r="J124" s="68">
        <v>2128</v>
      </c>
      <c r="K124" s="69">
        <v>555.39433699999995</v>
      </c>
      <c r="L124" s="75"/>
      <c r="M124" s="71">
        <v>555.39433699999995</v>
      </c>
      <c r="N124" s="72" t="s">
        <v>116</v>
      </c>
      <c r="O124" s="64" t="s">
        <v>315</v>
      </c>
    </row>
    <row r="125" spans="1:15" ht="20.25" customHeight="1">
      <c r="A125" s="63">
        <v>119</v>
      </c>
      <c r="B125" s="63">
        <v>4</v>
      </c>
      <c r="C125" s="64" t="s">
        <v>39</v>
      </c>
      <c r="D125" s="65" t="s">
        <v>316</v>
      </c>
      <c r="E125" s="84">
        <v>2946.5212062378823</v>
      </c>
      <c r="F125" s="66">
        <v>0</v>
      </c>
      <c r="G125" s="66">
        <v>3088.1336886303502</v>
      </c>
      <c r="H125" s="66">
        <v>3088.1336886303502</v>
      </c>
      <c r="I125" s="77" t="s">
        <v>91</v>
      </c>
      <c r="J125" s="68">
        <v>1392.66</v>
      </c>
      <c r="K125" s="69">
        <v>986.37137129999996</v>
      </c>
      <c r="L125" s="70"/>
      <c r="M125" s="71">
        <v>986.37137129999996</v>
      </c>
      <c r="N125" s="72" t="s">
        <v>92</v>
      </c>
      <c r="O125" s="64" t="s">
        <v>317</v>
      </c>
    </row>
    <row r="126" spans="1:15" ht="20.25" customHeight="1">
      <c r="A126" s="63">
        <v>120</v>
      </c>
      <c r="B126" s="63">
        <v>5</v>
      </c>
      <c r="C126" s="62" t="s">
        <v>39</v>
      </c>
      <c r="D126" s="65" t="s">
        <v>318</v>
      </c>
      <c r="E126" s="66">
        <v>3409.1530559464659</v>
      </c>
      <c r="F126" s="66">
        <v>1.4900194726211495</v>
      </c>
      <c r="G126" s="66">
        <v>3293.252741376818</v>
      </c>
      <c r="H126" s="66">
        <v>3294.742760849439</v>
      </c>
      <c r="I126" s="78" t="s">
        <v>104</v>
      </c>
      <c r="J126" s="68">
        <v>1014</v>
      </c>
      <c r="K126" s="69"/>
      <c r="L126" s="79">
        <v>1014</v>
      </c>
      <c r="M126" s="71">
        <v>1014</v>
      </c>
      <c r="N126" s="72" t="s">
        <v>116</v>
      </c>
      <c r="O126" s="64" t="s">
        <v>319</v>
      </c>
    </row>
    <row r="127" spans="1:15" ht="20.25" hidden="1" customHeight="1">
      <c r="A127" s="63">
        <v>121</v>
      </c>
      <c r="B127" s="63">
        <v>6</v>
      </c>
      <c r="C127" s="62" t="s">
        <v>39</v>
      </c>
      <c r="D127" s="65" t="s">
        <v>320</v>
      </c>
      <c r="E127" s="66">
        <v>279.89333962433841</v>
      </c>
      <c r="F127" s="66">
        <v>0</v>
      </c>
      <c r="G127" s="66">
        <v>165.47983423550696</v>
      </c>
      <c r="H127" s="66">
        <v>165.47983423550696</v>
      </c>
      <c r="I127" s="77" t="s">
        <v>123</v>
      </c>
      <c r="J127" s="68">
        <v>0</v>
      </c>
      <c r="K127" s="80"/>
      <c r="L127" s="81"/>
      <c r="M127" s="82">
        <v>0</v>
      </c>
      <c r="N127" s="72" t="s">
        <v>116</v>
      </c>
      <c r="O127" s="64" t="s">
        <v>321</v>
      </c>
    </row>
    <row r="128" spans="1:15" ht="20.25" hidden="1" customHeight="1">
      <c r="A128" s="63">
        <v>122</v>
      </c>
      <c r="B128" s="63">
        <v>7</v>
      </c>
      <c r="C128" s="62" t="s">
        <v>39</v>
      </c>
      <c r="D128" s="65" t="s">
        <v>322</v>
      </c>
      <c r="E128" s="66">
        <v>12521.069683857606</v>
      </c>
      <c r="F128" s="66">
        <v>174.23817682421341</v>
      </c>
      <c r="G128" s="66">
        <v>12478.181940450559</v>
      </c>
      <c r="H128" s="66">
        <v>12652.420117274773</v>
      </c>
      <c r="I128" s="78" t="s">
        <v>123</v>
      </c>
      <c r="J128" s="68">
        <v>0</v>
      </c>
      <c r="K128" s="80"/>
      <c r="L128" s="81"/>
      <c r="M128" s="82">
        <v>0</v>
      </c>
      <c r="N128" s="72" t="s">
        <v>116</v>
      </c>
      <c r="O128" s="64" t="s">
        <v>323</v>
      </c>
    </row>
    <row r="129" spans="1:15" ht="20.25" customHeight="1">
      <c r="A129" s="63">
        <v>123</v>
      </c>
      <c r="B129" s="63">
        <v>8</v>
      </c>
      <c r="C129" s="64" t="s">
        <v>39</v>
      </c>
      <c r="D129" s="65" t="s">
        <v>324</v>
      </c>
      <c r="E129" s="84">
        <v>13905.82343508222</v>
      </c>
      <c r="F129" s="66">
        <v>851.57742405343186</v>
      </c>
      <c r="G129" s="66">
        <v>18675.525564960328</v>
      </c>
      <c r="H129" s="66">
        <v>19527.102989013758</v>
      </c>
      <c r="I129" s="77" t="s">
        <v>91</v>
      </c>
      <c r="J129" s="68">
        <v>19632.400000000001</v>
      </c>
      <c r="K129" s="69">
        <v>13453</v>
      </c>
      <c r="L129" s="70"/>
      <c r="M129" s="71">
        <v>13453</v>
      </c>
      <c r="N129" s="72" t="s">
        <v>92</v>
      </c>
      <c r="O129" s="64" t="s">
        <v>325</v>
      </c>
    </row>
    <row r="130" spans="1:15" ht="20.25" customHeight="1">
      <c r="A130" s="63">
        <v>124</v>
      </c>
      <c r="B130" s="63">
        <v>9</v>
      </c>
      <c r="C130" s="64" t="s">
        <v>39</v>
      </c>
      <c r="D130" s="65" t="s">
        <v>326</v>
      </c>
      <c r="E130" s="84">
        <v>34646.422833234414</v>
      </c>
      <c r="F130" s="66">
        <v>2095.3123792953111</v>
      </c>
      <c r="G130" s="66">
        <v>35955.606373891205</v>
      </c>
      <c r="H130" s="66">
        <v>38050.918753186517</v>
      </c>
      <c r="I130" s="78" t="s">
        <v>91</v>
      </c>
      <c r="J130" s="68">
        <v>40544.680000000008</v>
      </c>
      <c r="K130" s="69">
        <v>32723</v>
      </c>
      <c r="L130" s="70"/>
      <c r="M130" s="71">
        <v>32723</v>
      </c>
      <c r="N130" s="72" t="s">
        <v>97</v>
      </c>
      <c r="O130" s="64" t="s">
        <v>327</v>
      </c>
    </row>
    <row r="131" spans="1:15" ht="20.25" customHeight="1">
      <c r="A131" s="63">
        <v>125</v>
      </c>
      <c r="B131" s="63">
        <v>10</v>
      </c>
      <c r="C131" s="64" t="s">
        <v>39</v>
      </c>
      <c r="D131" s="65" t="s">
        <v>328</v>
      </c>
      <c r="E131" s="84">
        <v>13327.88135143251</v>
      </c>
      <c r="F131" s="66">
        <v>710.48730281860503</v>
      </c>
      <c r="G131" s="66">
        <v>14258.168242592938</v>
      </c>
      <c r="H131" s="66">
        <v>14968.655545411542</v>
      </c>
      <c r="I131" s="77" t="s">
        <v>91</v>
      </c>
      <c r="J131" s="68">
        <v>29360.18</v>
      </c>
      <c r="K131" s="69">
        <v>13326</v>
      </c>
      <c r="L131" s="70"/>
      <c r="M131" s="71">
        <v>13326</v>
      </c>
      <c r="N131" s="72" t="s">
        <v>97</v>
      </c>
      <c r="O131" s="64" t="s">
        <v>329</v>
      </c>
    </row>
    <row r="132" spans="1:15" ht="20.25" hidden="1" customHeight="1">
      <c r="A132" s="63">
        <v>126</v>
      </c>
      <c r="B132" s="63">
        <v>11</v>
      </c>
      <c r="C132" s="64" t="s">
        <v>39</v>
      </c>
      <c r="D132" s="65" t="s">
        <v>330</v>
      </c>
      <c r="E132" s="84">
        <v>2259.7747604169817</v>
      </c>
      <c r="F132" s="66">
        <v>43.990296696784263</v>
      </c>
      <c r="G132" s="66">
        <v>2157.1027469971859</v>
      </c>
      <c r="H132" s="66">
        <v>2201.0930436939702</v>
      </c>
      <c r="I132" s="78" t="s">
        <v>123</v>
      </c>
      <c r="J132" s="68">
        <v>0</v>
      </c>
      <c r="K132" s="80"/>
      <c r="L132" s="81"/>
      <c r="M132" s="82">
        <v>0</v>
      </c>
      <c r="N132" s="72" t="s">
        <v>126</v>
      </c>
      <c r="O132" s="64" t="s">
        <v>331</v>
      </c>
    </row>
    <row r="133" spans="1:15" ht="20.25" customHeight="1">
      <c r="A133" s="63" t="s">
        <v>332</v>
      </c>
      <c r="B133" s="63">
        <v>12</v>
      </c>
      <c r="C133" s="64" t="s">
        <v>39</v>
      </c>
      <c r="D133" s="65" t="s">
        <v>333</v>
      </c>
      <c r="E133" s="84">
        <v>30934.543695174758</v>
      </c>
      <c r="F133" s="66">
        <v>0</v>
      </c>
      <c r="G133" s="66">
        <v>34787.310367472237</v>
      </c>
      <c r="H133" s="66">
        <v>34787.310367472237</v>
      </c>
      <c r="I133" s="77" t="s">
        <v>91</v>
      </c>
      <c r="J133" s="68">
        <v>30934.55</v>
      </c>
      <c r="K133" s="69">
        <v>26817.72219</v>
      </c>
      <c r="L133" s="70"/>
      <c r="M133" s="71">
        <v>26817.72219</v>
      </c>
      <c r="N133" s="72" t="s">
        <v>92</v>
      </c>
      <c r="O133" s="64" t="s">
        <v>334</v>
      </c>
    </row>
    <row r="134" spans="1:15" ht="19.5" customHeight="1">
      <c r="A134" s="63">
        <v>128</v>
      </c>
      <c r="B134" s="63">
        <v>13</v>
      </c>
      <c r="C134" s="64" t="s">
        <v>39</v>
      </c>
      <c r="D134" s="65" t="s">
        <v>335</v>
      </c>
      <c r="E134" s="84">
        <v>97345.594411866899</v>
      </c>
      <c r="F134" s="66">
        <v>19298.38206327564</v>
      </c>
      <c r="G134" s="66">
        <v>86137.746314822929</v>
      </c>
      <c r="H134" s="66">
        <v>105436.12837809857</v>
      </c>
      <c r="I134" s="78" t="s">
        <v>91</v>
      </c>
      <c r="J134" s="68">
        <v>77466.87</v>
      </c>
      <c r="K134" s="69">
        <v>63197.503519999998</v>
      </c>
      <c r="L134" s="75"/>
      <c r="M134" s="71">
        <v>63197.503519999998</v>
      </c>
      <c r="N134" s="72" t="s">
        <v>97</v>
      </c>
      <c r="O134" s="64" t="s">
        <v>336</v>
      </c>
    </row>
    <row r="135" spans="1:15" ht="20.25" hidden="1" customHeight="1">
      <c r="A135" s="63">
        <v>129</v>
      </c>
      <c r="B135" s="63">
        <v>14</v>
      </c>
      <c r="C135" s="64" t="s">
        <v>39</v>
      </c>
      <c r="D135" s="65" t="s">
        <v>337</v>
      </c>
      <c r="E135" s="84">
        <v>3837.0460457090276</v>
      </c>
      <c r="F135" s="66">
        <v>108.36430937389302</v>
      </c>
      <c r="G135" s="66">
        <v>3452.7425698849474</v>
      </c>
      <c r="H135" s="66">
        <v>3561.1068792588403</v>
      </c>
      <c r="I135" s="77" t="s">
        <v>123</v>
      </c>
      <c r="J135" s="68">
        <v>0</v>
      </c>
      <c r="K135" s="80"/>
      <c r="L135" s="81"/>
      <c r="M135" s="82">
        <v>0</v>
      </c>
      <c r="N135" s="72" t="s">
        <v>116</v>
      </c>
      <c r="O135" s="64" t="s">
        <v>338</v>
      </c>
    </row>
    <row r="136" spans="1:15" ht="20.25" customHeight="1">
      <c r="A136" s="63">
        <v>130</v>
      </c>
      <c r="B136" s="63">
        <v>15</v>
      </c>
      <c r="C136" s="64" t="s">
        <v>39</v>
      </c>
      <c r="D136" s="65" t="s">
        <v>339</v>
      </c>
      <c r="E136" s="84">
        <v>7178.015909517605</v>
      </c>
      <c r="F136" s="66">
        <v>427.90712173209465</v>
      </c>
      <c r="G136" s="66">
        <v>8393.5087312780961</v>
      </c>
      <c r="H136" s="66">
        <v>8821.4158530101904</v>
      </c>
      <c r="I136" s="78" t="s">
        <v>91</v>
      </c>
      <c r="J136" s="68">
        <v>8710</v>
      </c>
      <c r="K136" s="69">
        <v>5757.2543889999997</v>
      </c>
      <c r="L136" s="70"/>
      <c r="M136" s="71">
        <v>5757.2543889999997</v>
      </c>
      <c r="N136" s="72" t="s">
        <v>116</v>
      </c>
      <c r="O136" s="64" t="s">
        <v>265</v>
      </c>
    </row>
    <row r="137" spans="1:15" ht="20.25" customHeight="1">
      <c r="A137" s="63">
        <v>131</v>
      </c>
      <c r="B137" s="63">
        <v>16</v>
      </c>
      <c r="C137" s="64" t="s">
        <v>39</v>
      </c>
      <c r="D137" s="65" t="s">
        <v>340</v>
      </c>
      <c r="E137" s="84">
        <v>59522.132234532728</v>
      </c>
      <c r="F137" s="66">
        <v>468.49171391008286</v>
      </c>
      <c r="G137" s="66">
        <v>66155.446366418662</v>
      </c>
      <c r="H137" s="66">
        <v>66623.938080328749</v>
      </c>
      <c r="I137" s="77" t="s">
        <v>91</v>
      </c>
      <c r="J137" s="68">
        <v>165498</v>
      </c>
      <c r="K137" s="69">
        <v>55850</v>
      </c>
      <c r="L137" s="70"/>
      <c r="M137" s="71">
        <v>55850</v>
      </c>
      <c r="N137" s="72" t="s">
        <v>116</v>
      </c>
      <c r="O137" s="64" t="s">
        <v>289</v>
      </c>
    </row>
    <row r="138" spans="1:15" ht="20.25" hidden="1" customHeight="1">
      <c r="A138" s="63">
        <v>132</v>
      </c>
      <c r="B138" s="63">
        <v>17</v>
      </c>
      <c r="C138" s="62" t="s">
        <v>39</v>
      </c>
      <c r="D138" s="65" t="s">
        <v>341</v>
      </c>
      <c r="E138" s="66">
        <v>3691.2151736351102</v>
      </c>
      <c r="F138" s="66">
        <v>37.978106556059998</v>
      </c>
      <c r="G138" s="66">
        <v>6361.3303807939928</v>
      </c>
      <c r="H138" s="66">
        <v>6399.3084873500529</v>
      </c>
      <c r="I138" s="78" t="s">
        <v>123</v>
      </c>
      <c r="J138" s="68">
        <v>0</v>
      </c>
      <c r="K138" s="80"/>
      <c r="L138" s="81"/>
      <c r="M138" s="82">
        <v>0</v>
      </c>
      <c r="N138" s="72" t="s">
        <v>116</v>
      </c>
      <c r="O138" s="64" t="s">
        <v>151</v>
      </c>
    </row>
    <row r="139" spans="1:15" ht="20.25" customHeight="1">
      <c r="A139" s="63">
        <v>133</v>
      </c>
      <c r="B139" s="63">
        <v>1</v>
      </c>
      <c r="C139" s="64" t="s">
        <v>42</v>
      </c>
      <c r="D139" s="65" t="s">
        <v>342</v>
      </c>
      <c r="E139" s="84">
        <v>2440.2012506995979</v>
      </c>
      <c r="F139" s="66">
        <v>12.557364423395001</v>
      </c>
      <c r="G139" s="66">
        <v>2244.5216583248848</v>
      </c>
      <c r="H139" s="66">
        <v>2257.0790227482798</v>
      </c>
      <c r="I139" s="77" t="s">
        <v>104</v>
      </c>
      <c r="J139" s="68">
        <v>2925</v>
      </c>
      <c r="K139" s="69"/>
      <c r="L139" s="79">
        <v>2440.2012506995979</v>
      </c>
      <c r="M139" s="71">
        <v>2440.2012506995979</v>
      </c>
      <c r="N139" s="72" t="s">
        <v>97</v>
      </c>
      <c r="O139" s="64" t="s">
        <v>343</v>
      </c>
    </row>
    <row r="140" spans="1:15" ht="20.25" customHeight="1">
      <c r="A140" s="63">
        <v>134</v>
      </c>
      <c r="B140" s="63">
        <v>2</v>
      </c>
      <c r="C140" s="64" t="s">
        <v>42</v>
      </c>
      <c r="D140" s="65" t="s">
        <v>344</v>
      </c>
      <c r="E140" s="84">
        <v>2679.9560399283041</v>
      </c>
      <c r="F140" s="66">
        <v>668.16468184319615</v>
      </c>
      <c r="G140" s="66">
        <v>1785.0914303230136</v>
      </c>
      <c r="H140" s="66">
        <v>2453.2561121662097</v>
      </c>
      <c r="I140" s="78" t="s">
        <v>91</v>
      </c>
      <c r="J140" s="68">
        <v>2701.78</v>
      </c>
      <c r="K140" s="69">
        <v>2542.5298039999998</v>
      </c>
      <c r="L140" s="75"/>
      <c r="M140" s="71">
        <v>2542.5298039999998</v>
      </c>
      <c r="N140" s="72" t="s">
        <v>92</v>
      </c>
      <c r="O140" s="64" t="s">
        <v>345</v>
      </c>
    </row>
    <row r="141" spans="1:15" ht="20.25" customHeight="1">
      <c r="A141" s="63">
        <v>135</v>
      </c>
      <c r="B141" s="63">
        <v>3</v>
      </c>
      <c r="C141" s="64" t="s">
        <v>42</v>
      </c>
      <c r="D141" s="65" t="s">
        <v>346</v>
      </c>
      <c r="E141" s="66">
        <v>13556.734387990884</v>
      </c>
      <c r="F141" s="66">
        <v>1501.3127792837813</v>
      </c>
      <c r="G141" s="66">
        <v>13854.249246151574</v>
      </c>
      <c r="H141" s="66">
        <v>15355.562025435356</v>
      </c>
      <c r="I141" s="77" t="s">
        <v>104</v>
      </c>
      <c r="J141" s="68">
        <v>35000</v>
      </c>
      <c r="K141" s="69"/>
      <c r="L141" s="79">
        <v>13556.734387990884</v>
      </c>
      <c r="M141" s="71">
        <v>13556.734387990884</v>
      </c>
      <c r="N141" s="72" t="s">
        <v>92</v>
      </c>
      <c r="O141" s="64" t="s">
        <v>347</v>
      </c>
    </row>
    <row r="142" spans="1:15" ht="20.25" customHeight="1">
      <c r="A142" s="63">
        <v>136</v>
      </c>
      <c r="B142" s="63">
        <v>4</v>
      </c>
      <c r="C142" s="64" t="s">
        <v>42</v>
      </c>
      <c r="D142" s="65" t="s">
        <v>348</v>
      </c>
      <c r="E142" s="66">
        <v>250.39411614609301</v>
      </c>
      <c r="F142" s="66">
        <v>1.25634648802853</v>
      </c>
      <c r="G142" s="66">
        <v>259.7354930160983</v>
      </c>
      <c r="H142" s="66">
        <v>260.99183950412686</v>
      </c>
      <c r="I142" s="78" t="s">
        <v>91</v>
      </c>
      <c r="J142" s="68">
        <v>391.8</v>
      </c>
      <c r="K142" s="69">
        <v>162</v>
      </c>
      <c r="L142" s="70"/>
      <c r="M142" s="71">
        <v>162</v>
      </c>
      <c r="N142" s="72" t="s">
        <v>126</v>
      </c>
      <c r="O142" s="64" t="s">
        <v>349</v>
      </c>
    </row>
    <row r="143" spans="1:15" ht="20.25" customHeight="1">
      <c r="A143" s="63">
        <v>137</v>
      </c>
      <c r="B143" s="63">
        <v>5</v>
      </c>
      <c r="C143" s="64" t="s">
        <v>42</v>
      </c>
      <c r="D143" s="65" t="s">
        <v>350</v>
      </c>
      <c r="E143" s="66">
        <v>983.45353349965865</v>
      </c>
      <c r="F143" s="66">
        <v>66.265078781223451</v>
      </c>
      <c r="G143" s="66">
        <v>588.65463616003353</v>
      </c>
      <c r="H143" s="66">
        <v>654.91971494125698</v>
      </c>
      <c r="I143" s="77" t="s">
        <v>91</v>
      </c>
      <c r="J143" s="68">
        <v>1260</v>
      </c>
      <c r="K143" s="69">
        <v>924</v>
      </c>
      <c r="L143" s="70"/>
      <c r="M143" s="71">
        <v>924</v>
      </c>
      <c r="N143" s="72" t="s">
        <v>126</v>
      </c>
      <c r="O143" s="76" t="s">
        <v>351</v>
      </c>
    </row>
    <row r="144" spans="1:15" ht="20.25" customHeight="1">
      <c r="A144" s="63">
        <v>138</v>
      </c>
      <c r="B144" s="63">
        <v>6</v>
      </c>
      <c r="C144" s="64" t="s">
        <v>42</v>
      </c>
      <c r="D144" s="65" t="s">
        <v>352</v>
      </c>
      <c r="E144" s="66">
        <v>2491.5246161459195</v>
      </c>
      <c r="F144" s="66">
        <v>18.310171536782999</v>
      </c>
      <c r="G144" s="66">
        <v>1561.2636997726722</v>
      </c>
      <c r="H144" s="66">
        <v>1579.5738713094552</v>
      </c>
      <c r="I144" s="78" t="s">
        <v>104</v>
      </c>
      <c r="J144" s="68">
        <v>3042</v>
      </c>
      <c r="K144" s="69"/>
      <c r="L144" s="79">
        <v>2491.5246161459195</v>
      </c>
      <c r="M144" s="71">
        <v>2491.5246161459195</v>
      </c>
      <c r="N144" s="72" t="s">
        <v>116</v>
      </c>
      <c r="O144" s="64" t="s">
        <v>353</v>
      </c>
    </row>
    <row r="145" spans="1:15" ht="20.25" hidden="1" customHeight="1">
      <c r="A145" s="63">
        <v>139</v>
      </c>
      <c r="B145" s="63">
        <v>7</v>
      </c>
      <c r="C145" s="64" t="s">
        <v>42</v>
      </c>
      <c r="D145" s="65" t="s">
        <v>354</v>
      </c>
      <c r="E145" s="66">
        <v>0</v>
      </c>
      <c r="F145" s="66">
        <v>0</v>
      </c>
      <c r="G145" s="66">
        <v>0</v>
      </c>
      <c r="H145" s="66">
        <v>0</v>
      </c>
      <c r="I145" s="77" t="s">
        <v>123</v>
      </c>
      <c r="J145" s="68">
        <v>0</v>
      </c>
      <c r="K145" s="80"/>
      <c r="L145" s="81"/>
      <c r="M145" s="82">
        <v>0</v>
      </c>
      <c r="N145" s="72" t="s">
        <v>116</v>
      </c>
      <c r="O145" s="64" t="s">
        <v>315</v>
      </c>
    </row>
    <row r="146" spans="1:15" ht="20.25" customHeight="1">
      <c r="A146" s="63">
        <v>140</v>
      </c>
      <c r="B146" s="63">
        <v>1</v>
      </c>
      <c r="C146" s="87" t="s">
        <v>41</v>
      </c>
      <c r="D146" s="88" t="s">
        <v>355</v>
      </c>
      <c r="E146" s="68">
        <v>619.31805317539499</v>
      </c>
      <c r="F146" s="66">
        <v>0.1263750643352731</v>
      </c>
      <c r="G146" s="66">
        <v>466.67151874700403</v>
      </c>
      <c r="H146" s="66">
        <v>466.79789381133929</v>
      </c>
      <c r="I146" s="78" t="s">
        <v>91</v>
      </c>
      <c r="J146" s="68">
        <v>186</v>
      </c>
      <c r="K146" s="69">
        <v>181</v>
      </c>
      <c r="L146" s="70"/>
      <c r="M146" s="71">
        <v>181</v>
      </c>
      <c r="N146" s="72" t="s">
        <v>116</v>
      </c>
      <c r="O146" s="89" t="s">
        <v>218</v>
      </c>
    </row>
    <row r="147" spans="1:15" ht="20.25" customHeight="1">
      <c r="A147" s="63">
        <v>141</v>
      </c>
      <c r="B147" s="63">
        <v>2</v>
      </c>
      <c r="C147" s="87" t="s">
        <v>41</v>
      </c>
      <c r="D147" s="88" t="s">
        <v>356</v>
      </c>
      <c r="E147" s="68">
        <v>2947.9016841234907</v>
      </c>
      <c r="F147" s="66">
        <v>0</v>
      </c>
      <c r="G147" s="66">
        <v>2588.8876523631761</v>
      </c>
      <c r="H147" s="66">
        <v>2588.8876523631761</v>
      </c>
      <c r="I147" s="77" t="s">
        <v>91</v>
      </c>
      <c r="J147" s="68">
        <v>1568</v>
      </c>
      <c r="K147" s="69">
        <v>1480.9956090000001</v>
      </c>
      <c r="L147" s="70"/>
      <c r="M147" s="71">
        <v>1480.9956090000001</v>
      </c>
      <c r="N147" s="72" t="s">
        <v>116</v>
      </c>
      <c r="O147" s="64" t="s">
        <v>220</v>
      </c>
    </row>
    <row r="148" spans="1:15" ht="20.25" customHeight="1">
      <c r="A148" s="63">
        <v>142</v>
      </c>
      <c r="B148" s="63">
        <v>3</v>
      </c>
      <c r="C148" s="87" t="s">
        <v>41</v>
      </c>
      <c r="D148" s="88" t="s">
        <v>357</v>
      </c>
      <c r="E148" s="68">
        <v>10464.649513911036</v>
      </c>
      <c r="F148" s="66">
        <v>175.56606270309982</v>
      </c>
      <c r="G148" s="66">
        <v>9635.9010056773859</v>
      </c>
      <c r="H148" s="66">
        <v>9811.4670683804852</v>
      </c>
      <c r="I148" s="78" t="s">
        <v>91</v>
      </c>
      <c r="J148" s="68">
        <v>10181.529999999999</v>
      </c>
      <c r="K148" s="69">
        <v>8966</v>
      </c>
      <c r="L148" s="70"/>
      <c r="M148" s="71">
        <v>8966</v>
      </c>
      <c r="N148" s="72" t="s">
        <v>126</v>
      </c>
      <c r="O148" s="64" t="s">
        <v>265</v>
      </c>
    </row>
    <row r="149" spans="1:15" ht="20.25" customHeight="1">
      <c r="A149" s="63">
        <v>143</v>
      </c>
      <c r="B149" s="63">
        <v>4</v>
      </c>
      <c r="C149" s="87" t="s">
        <v>41</v>
      </c>
      <c r="D149" s="88" t="s">
        <v>358</v>
      </c>
      <c r="E149" s="68">
        <v>38687.988742741414</v>
      </c>
      <c r="F149" s="66">
        <v>4412.5142375480691</v>
      </c>
      <c r="G149" s="66">
        <v>34242.225491575082</v>
      </c>
      <c r="H149" s="66">
        <v>38654.739729123154</v>
      </c>
      <c r="I149" s="77" t="s">
        <v>91</v>
      </c>
      <c r="J149" s="68">
        <v>41575</v>
      </c>
      <c r="K149" s="69">
        <v>36478</v>
      </c>
      <c r="L149" s="70"/>
      <c r="M149" s="71">
        <v>36478</v>
      </c>
      <c r="N149" s="72" t="s">
        <v>126</v>
      </c>
      <c r="O149" s="64" t="s">
        <v>359</v>
      </c>
    </row>
    <row r="150" spans="1:15" ht="20.25" customHeight="1">
      <c r="A150" s="63">
        <v>144</v>
      </c>
      <c r="B150" s="63">
        <v>5</v>
      </c>
      <c r="C150" s="87" t="s">
        <v>41</v>
      </c>
      <c r="D150" s="88" t="s">
        <v>360</v>
      </c>
      <c r="E150" s="68">
        <v>79664.170513390025</v>
      </c>
      <c r="F150" s="66">
        <v>51.590340504179693</v>
      </c>
      <c r="G150" s="66">
        <v>69010.33930251305</v>
      </c>
      <c r="H150" s="66">
        <v>69061.929643017225</v>
      </c>
      <c r="I150" s="78" t="s">
        <v>104</v>
      </c>
      <c r="J150" s="68">
        <v>61589</v>
      </c>
      <c r="K150" s="69"/>
      <c r="L150" s="79">
        <v>61589</v>
      </c>
      <c r="M150" s="71">
        <v>61589</v>
      </c>
      <c r="N150" s="72" t="s">
        <v>116</v>
      </c>
      <c r="O150" s="64" t="s">
        <v>361</v>
      </c>
    </row>
    <row r="151" spans="1:15" ht="20.25" customHeight="1">
      <c r="A151" s="63">
        <v>145</v>
      </c>
      <c r="B151" s="63">
        <v>6</v>
      </c>
      <c r="C151" s="87" t="s">
        <v>41</v>
      </c>
      <c r="D151" s="88" t="s">
        <v>362</v>
      </c>
      <c r="E151" s="68">
        <v>58592.125143821191</v>
      </c>
      <c r="F151" s="66">
        <v>1741.1748801501458</v>
      </c>
      <c r="G151" s="66">
        <v>54219.06108952767</v>
      </c>
      <c r="H151" s="66">
        <v>55960.235969677815</v>
      </c>
      <c r="I151" s="77" t="s">
        <v>91</v>
      </c>
      <c r="J151" s="68">
        <v>59173.24</v>
      </c>
      <c r="K151" s="69">
        <v>56602.28776769156</v>
      </c>
      <c r="L151" s="70"/>
      <c r="M151" s="71">
        <v>56602.28776769156</v>
      </c>
      <c r="N151" s="72" t="s">
        <v>97</v>
      </c>
      <c r="O151" s="64" t="s">
        <v>363</v>
      </c>
    </row>
    <row r="152" spans="1:15" ht="20.25" customHeight="1">
      <c r="A152" s="63">
        <v>146</v>
      </c>
      <c r="B152" s="63">
        <v>7</v>
      </c>
      <c r="C152" s="87" t="s">
        <v>41</v>
      </c>
      <c r="D152" s="88" t="s">
        <v>364</v>
      </c>
      <c r="E152" s="68">
        <v>14972.919560100783</v>
      </c>
      <c r="F152" s="66">
        <v>48.091484694405892</v>
      </c>
      <c r="G152" s="66">
        <v>13161.534726970935</v>
      </c>
      <c r="H152" s="66">
        <v>13209.62621166534</v>
      </c>
      <c r="I152" s="78" t="s">
        <v>91</v>
      </c>
      <c r="J152" s="68">
        <v>14282.55</v>
      </c>
      <c r="K152" s="69">
        <v>13483.753009252363</v>
      </c>
      <c r="L152" s="70"/>
      <c r="M152" s="71">
        <v>13483.753009252363</v>
      </c>
      <c r="N152" s="72" t="s">
        <v>97</v>
      </c>
      <c r="O152" s="76" t="s">
        <v>365</v>
      </c>
    </row>
    <row r="153" spans="1:15" ht="20.25" customHeight="1">
      <c r="A153" s="63">
        <v>147</v>
      </c>
      <c r="B153" s="63">
        <v>8</v>
      </c>
      <c r="C153" s="87" t="s">
        <v>41</v>
      </c>
      <c r="D153" s="88" t="s">
        <v>366</v>
      </c>
      <c r="E153" s="68">
        <v>30611.067848885363</v>
      </c>
      <c r="F153" s="66">
        <v>2377.8385002918913</v>
      </c>
      <c r="G153" s="66">
        <v>26293.65978530304</v>
      </c>
      <c r="H153" s="66">
        <v>28671.498285594931</v>
      </c>
      <c r="I153" s="77" t="s">
        <v>91</v>
      </c>
      <c r="J153" s="68">
        <v>29167.08</v>
      </c>
      <c r="K153" s="69">
        <v>24535.364444661438</v>
      </c>
      <c r="L153" s="70"/>
      <c r="M153" s="71">
        <v>24535.364444661438</v>
      </c>
      <c r="N153" s="72" t="s">
        <v>97</v>
      </c>
      <c r="O153" s="64" t="s">
        <v>367</v>
      </c>
    </row>
    <row r="154" spans="1:15" ht="20.25" customHeight="1">
      <c r="A154" s="63">
        <v>148</v>
      </c>
      <c r="B154" s="63">
        <v>9</v>
      </c>
      <c r="C154" s="87" t="s">
        <v>41</v>
      </c>
      <c r="D154" s="88" t="s">
        <v>368</v>
      </c>
      <c r="E154" s="68">
        <v>13304.536651855067</v>
      </c>
      <c r="F154" s="66">
        <v>432.0485630944529</v>
      </c>
      <c r="G154" s="66">
        <v>12493.970696136877</v>
      </c>
      <c r="H154" s="66">
        <v>12926.019259231331</v>
      </c>
      <c r="I154" s="78" t="s">
        <v>91</v>
      </c>
      <c r="J154" s="68">
        <v>13847</v>
      </c>
      <c r="K154" s="69">
        <v>8430</v>
      </c>
      <c r="L154" s="70"/>
      <c r="M154" s="71">
        <v>8430</v>
      </c>
      <c r="N154" s="72" t="s">
        <v>116</v>
      </c>
      <c r="O154" s="64" t="s">
        <v>311</v>
      </c>
    </row>
    <row r="155" spans="1:15" ht="20.25" customHeight="1">
      <c r="A155" s="63">
        <v>149</v>
      </c>
      <c r="B155" s="63">
        <v>10</v>
      </c>
      <c r="C155" s="87" t="s">
        <v>41</v>
      </c>
      <c r="D155" s="88" t="s">
        <v>369</v>
      </c>
      <c r="E155" s="68">
        <v>8587.7008628827771</v>
      </c>
      <c r="F155" s="66">
        <v>78.026020550731303</v>
      </c>
      <c r="G155" s="66">
        <v>7888.0484251706966</v>
      </c>
      <c r="H155" s="66">
        <v>7966.0744457214278</v>
      </c>
      <c r="I155" s="77" t="s">
        <v>91</v>
      </c>
      <c r="J155" s="68">
        <v>9503.2049999999999</v>
      </c>
      <c r="K155" s="69">
        <v>7911.2861884435251</v>
      </c>
      <c r="L155" s="70"/>
      <c r="M155" s="71">
        <v>7911.2861884435251</v>
      </c>
      <c r="N155" s="72" t="s">
        <v>92</v>
      </c>
      <c r="O155" s="76" t="s">
        <v>370</v>
      </c>
    </row>
    <row r="156" spans="1:15" ht="20.25" customHeight="1">
      <c r="A156" s="63">
        <v>150</v>
      </c>
      <c r="B156" s="63">
        <v>11</v>
      </c>
      <c r="C156" s="87" t="s">
        <v>41</v>
      </c>
      <c r="D156" s="88" t="s">
        <v>371</v>
      </c>
      <c r="E156" s="68">
        <v>13928.262922905711</v>
      </c>
      <c r="F156" s="66">
        <v>1.6824863160400001</v>
      </c>
      <c r="G156" s="66">
        <v>13717.95354064244</v>
      </c>
      <c r="H156" s="66">
        <v>13719.63602695848</v>
      </c>
      <c r="I156" s="78" t="s">
        <v>104</v>
      </c>
      <c r="J156" s="68">
        <v>8145</v>
      </c>
      <c r="K156" s="69"/>
      <c r="L156" s="79">
        <v>8145</v>
      </c>
      <c r="M156" s="71">
        <v>8145</v>
      </c>
      <c r="N156" s="72" t="s">
        <v>126</v>
      </c>
      <c r="O156" s="64" t="s">
        <v>372</v>
      </c>
    </row>
    <row r="157" spans="1:15" ht="20.25" customHeight="1">
      <c r="A157" s="63">
        <v>151</v>
      </c>
      <c r="B157" s="63">
        <v>12</v>
      </c>
      <c r="C157" s="87" t="s">
        <v>41</v>
      </c>
      <c r="D157" s="88" t="s">
        <v>373</v>
      </c>
      <c r="E157" s="68">
        <v>16842.671266771627</v>
      </c>
      <c r="F157" s="66">
        <v>155.11086128948975</v>
      </c>
      <c r="G157" s="66">
        <v>15788.520609877627</v>
      </c>
      <c r="H157" s="66">
        <v>15943.631471167117</v>
      </c>
      <c r="I157" s="77" t="s">
        <v>91</v>
      </c>
      <c r="J157" s="68">
        <v>17767.77</v>
      </c>
      <c r="K157" s="69">
        <v>14997.692529651549</v>
      </c>
      <c r="L157" s="70"/>
      <c r="M157" s="71">
        <v>14997.692529651549</v>
      </c>
      <c r="N157" s="72" t="s">
        <v>97</v>
      </c>
      <c r="O157" s="64" t="s">
        <v>374</v>
      </c>
    </row>
    <row r="158" spans="1:15" ht="20.25" customHeight="1">
      <c r="A158" s="63">
        <v>152</v>
      </c>
      <c r="B158" s="63">
        <v>13</v>
      </c>
      <c r="C158" s="87" t="s">
        <v>41</v>
      </c>
      <c r="D158" s="88" t="s">
        <v>375</v>
      </c>
      <c r="E158" s="68">
        <v>6996.6396211568263</v>
      </c>
      <c r="F158" s="66">
        <v>0.1230781803084</v>
      </c>
      <c r="G158" s="66">
        <v>6936.5028378767302</v>
      </c>
      <c r="H158" s="66">
        <v>6936.6259160570389</v>
      </c>
      <c r="I158" s="78" t="s">
        <v>91</v>
      </c>
      <c r="J158" s="68">
        <v>14906.96</v>
      </c>
      <c r="K158" s="69">
        <v>6670</v>
      </c>
      <c r="L158" s="70"/>
      <c r="M158" s="71">
        <v>6670</v>
      </c>
      <c r="N158" s="72" t="s">
        <v>126</v>
      </c>
      <c r="O158" s="64" t="s">
        <v>376</v>
      </c>
    </row>
    <row r="159" spans="1:15" ht="20.25" customHeight="1">
      <c r="A159" s="63">
        <v>153</v>
      </c>
      <c r="B159" s="63">
        <v>14</v>
      </c>
      <c r="C159" s="87" t="s">
        <v>41</v>
      </c>
      <c r="D159" s="88" t="s">
        <v>377</v>
      </c>
      <c r="E159" s="68">
        <v>51094.783206630214</v>
      </c>
      <c r="F159" s="66">
        <v>4386.1801347323963</v>
      </c>
      <c r="G159" s="66">
        <v>42446.050806998952</v>
      </c>
      <c r="H159" s="66">
        <v>46832.230941731352</v>
      </c>
      <c r="I159" s="77" t="s">
        <v>91</v>
      </c>
      <c r="J159" s="68">
        <v>49035.4</v>
      </c>
      <c r="K159" s="69">
        <v>47800.233566455274</v>
      </c>
      <c r="L159" s="70"/>
      <c r="M159" s="71">
        <v>47800.233566455274</v>
      </c>
      <c r="N159" s="72" t="s">
        <v>97</v>
      </c>
      <c r="O159" s="76" t="s">
        <v>378</v>
      </c>
    </row>
    <row r="160" spans="1:15" ht="20.25" customHeight="1">
      <c r="A160" s="63">
        <v>154</v>
      </c>
      <c r="B160" s="63">
        <v>15</v>
      </c>
      <c r="C160" s="87" t="s">
        <v>41</v>
      </c>
      <c r="D160" s="88" t="s">
        <v>379</v>
      </c>
      <c r="E160" s="68">
        <v>14384.178115462275</v>
      </c>
      <c r="F160" s="66">
        <v>149.08258082855519</v>
      </c>
      <c r="G160" s="66">
        <v>14385.473738351962</v>
      </c>
      <c r="H160" s="66">
        <v>14534.556319180518</v>
      </c>
      <c r="I160" s="78" t="s">
        <v>104</v>
      </c>
      <c r="J160" s="68">
        <v>26284</v>
      </c>
      <c r="K160" s="69"/>
      <c r="L160" s="79">
        <v>14384.178115462275</v>
      </c>
      <c r="M160" s="71">
        <v>14384.178115462275</v>
      </c>
      <c r="N160" s="72" t="s">
        <v>126</v>
      </c>
      <c r="O160" s="64" t="s">
        <v>380</v>
      </c>
    </row>
    <row r="161" spans="1:15" ht="20.25" customHeight="1">
      <c r="A161" s="63">
        <v>155</v>
      </c>
      <c r="B161" s="63">
        <v>1</v>
      </c>
      <c r="C161" s="62" t="s">
        <v>44</v>
      </c>
      <c r="D161" s="65" t="s">
        <v>381</v>
      </c>
      <c r="E161" s="66">
        <v>1690.7821386697183</v>
      </c>
      <c r="F161" s="66">
        <v>51.860813611619243</v>
      </c>
      <c r="G161" s="66">
        <v>1098.7964055234411</v>
      </c>
      <c r="H161" s="66">
        <v>1150.6572191350604</v>
      </c>
      <c r="I161" s="77" t="s">
        <v>91</v>
      </c>
      <c r="J161" s="68">
        <v>469</v>
      </c>
      <c r="K161" s="69">
        <v>271</v>
      </c>
      <c r="L161" s="70"/>
      <c r="M161" s="71">
        <v>271</v>
      </c>
      <c r="N161" s="72" t="s">
        <v>116</v>
      </c>
      <c r="O161" s="64" t="s">
        <v>262</v>
      </c>
    </row>
    <row r="162" spans="1:15" ht="20.25" customHeight="1">
      <c r="A162" s="63">
        <v>156</v>
      </c>
      <c r="B162" s="63">
        <v>2</v>
      </c>
      <c r="C162" s="62" t="s">
        <v>44</v>
      </c>
      <c r="D162" s="65" t="s">
        <v>382</v>
      </c>
      <c r="E162" s="66">
        <v>8475.3453568485402</v>
      </c>
      <c r="F162" s="66">
        <v>210.04123093261961</v>
      </c>
      <c r="G162" s="66">
        <v>7142.534250076561</v>
      </c>
      <c r="H162" s="66">
        <v>7352.5754810091803</v>
      </c>
      <c r="I162" s="78" t="s">
        <v>91</v>
      </c>
      <c r="J162" s="68">
        <v>3054</v>
      </c>
      <c r="K162" s="69">
        <v>2888</v>
      </c>
      <c r="L162" s="70"/>
      <c r="M162" s="71">
        <v>2888</v>
      </c>
      <c r="N162" s="72" t="s">
        <v>116</v>
      </c>
      <c r="O162" s="64" t="s">
        <v>248</v>
      </c>
    </row>
    <row r="163" spans="1:15" ht="20.25" hidden="1" customHeight="1">
      <c r="A163" s="63">
        <v>157</v>
      </c>
      <c r="B163" s="63">
        <v>3</v>
      </c>
      <c r="C163" s="62" t="s">
        <v>44</v>
      </c>
      <c r="D163" s="65" t="s">
        <v>383</v>
      </c>
      <c r="E163" s="66">
        <v>1142.6688342999996</v>
      </c>
      <c r="F163" s="66">
        <v>5.4212844604505008</v>
      </c>
      <c r="G163" s="66">
        <v>177.79916195085113</v>
      </c>
      <c r="H163" s="66">
        <v>183.22044641130162</v>
      </c>
      <c r="I163" s="77" t="s">
        <v>123</v>
      </c>
      <c r="J163" s="68">
        <v>0</v>
      </c>
      <c r="K163" s="80"/>
      <c r="L163" s="81"/>
      <c r="M163" s="82">
        <v>0</v>
      </c>
      <c r="N163" s="72" t="s">
        <v>116</v>
      </c>
      <c r="O163" s="64" t="s">
        <v>311</v>
      </c>
    </row>
    <row r="164" spans="1:15" ht="20.25" hidden="1" customHeight="1">
      <c r="A164" s="63">
        <v>158</v>
      </c>
      <c r="B164" s="63">
        <v>4</v>
      </c>
      <c r="C164" s="62" t="s">
        <v>44</v>
      </c>
      <c r="D164" s="65" t="s">
        <v>384</v>
      </c>
      <c r="E164" s="66">
        <v>238.12782510000002</v>
      </c>
      <c r="F164" s="66">
        <v>0</v>
      </c>
      <c r="G164" s="66">
        <v>0</v>
      </c>
      <c r="H164" s="66">
        <v>0</v>
      </c>
      <c r="I164" s="78" t="s">
        <v>123</v>
      </c>
      <c r="J164" s="68">
        <v>0</v>
      </c>
      <c r="K164" s="80"/>
      <c r="L164" s="81"/>
      <c r="M164" s="82">
        <v>0</v>
      </c>
      <c r="N164" s="72" t="s">
        <v>116</v>
      </c>
      <c r="O164" s="64" t="s">
        <v>385</v>
      </c>
    </row>
    <row r="165" spans="1:15" ht="20.25" customHeight="1">
      <c r="A165" s="63">
        <v>159</v>
      </c>
      <c r="B165" s="63">
        <v>5</v>
      </c>
      <c r="C165" s="62" t="s">
        <v>44</v>
      </c>
      <c r="D165" s="65" t="s">
        <v>386</v>
      </c>
      <c r="E165" s="66">
        <v>51296.922502830173</v>
      </c>
      <c r="F165" s="66">
        <v>3704.670585714307</v>
      </c>
      <c r="G165" s="66">
        <v>48319.884135103501</v>
      </c>
      <c r="H165" s="66">
        <v>52024.55472081781</v>
      </c>
      <c r="I165" s="77" t="s">
        <v>91</v>
      </c>
      <c r="J165" s="68">
        <v>28010</v>
      </c>
      <c r="K165" s="69">
        <v>28009.342264999999</v>
      </c>
      <c r="L165" s="70"/>
      <c r="M165" s="71">
        <v>28009.342264999999</v>
      </c>
      <c r="N165" s="72" t="s">
        <v>116</v>
      </c>
      <c r="O165" s="64" t="s">
        <v>387</v>
      </c>
    </row>
    <row r="166" spans="1:15" ht="20.25" customHeight="1">
      <c r="A166" s="63">
        <v>160</v>
      </c>
      <c r="B166" s="63">
        <v>6</v>
      </c>
      <c r="C166" s="62" t="s">
        <v>44</v>
      </c>
      <c r="D166" s="65" t="s">
        <v>388</v>
      </c>
      <c r="E166" s="66">
        <v>52640.031897197441</v>
      </c>
      <c r="F166" s="66">
        <v>5265.1104499528838</v>
      </c>
      <c r="G166" s="66">
        <v>47107.571789448622</v>
      </c>
      <c r="H166" s="66">
        <v>52372.682239401503</v>
      </c>
      <c r="I166" s="78" t="s">
        <v>91</v>
      </c>
      <c r="J166" s="68">
        <v>45755</v>
      </c>
      <c r="K166" s="69">
        <v>45775.787179999999</v>
      </c>
      <c r="L166" s="75"/>
      <c r="M166" s="71">
        <v>45775.787179999999</v>
      </c>
      <c r="N166" s="72" t="s">
        <v>116</v>
      </c>
      <c r="O166" s="64" t="s">
        <v>389</v>
      </c>
    </row>
    <row r="167" spans="1:15" ht="20.25" customHeight="1">
      <c r="A167" s="63">
        <v>161</v>
      </c>
      <c r="B167" s="63">
        <v>7</v>
      </c>
      <c r="C167" s="62" t="s">
        <v>44</v>
      </c>
      <c r="D167" s="65" t="s">
        <v>390</v>
      </c>
      <c r="E167" s="66">
        <v>49462.563132418974</v>
      </c>
      <c r="F167" s="66">
        <v>3159.1140981173371</v>
      </c>
      <c r="G167" s="66">
        <v>44891.140235684681</v>
      </c>
      <c r="H167" s="66">
        <v>48050.254333802019</v>
      </c>
      <c r="I167" s="77" t="s">
        <v>91</v>
      </c>
      <c r="J167" s="68">
        <v>32229.350000000002</v>
      </c>
      <c r="K167" s="69">
        <v>26366.877662999999</v>
      </c>
      <c r="L167" s="75"/>
      <c r="M167" s="71">
        <v>26366.877662999999</v>
      </c>
      <c r="N167" s="72" t="s">
        <v>116</v>
      </c>
      <c r="O167" s="64" t="s">
        <v>155</v>
      </c>
    </row>
    <row r="168" spans="1:15" ht="20.25" customHeight="1">
      <c r="A168" s="63">
        <v>162</v>
      </c>
      <c r="B168" s="63">
        <v>8</v>
      </c>
      <c r="C168" s="62" t="s">
        <v>44</v>
      </c>
      <c r="D168" s="65" t="s">
        <v>391</v>
      </c>
      <c r="E168" s="66">
        <v>39388.534703362435</v>
      </c>
      <c r="F168" s="66">
        <v>329.54895548479311</v>
      </c>
      <c r="G168" s="66">
        <v>36381.997783752908</v>
      </c>
      <c r="H168" s="66">
        <v>36711.546739237703</v>
      </c>
      <c r="I168" s="78" t="s">
        <v>91</v>
      </c>
      <c r="J168" s="68">
        <v>13931</v>
      </c>
      <c r="K168" s="69">
        <v>12906</v>
      </c>
      <c r="L168" s="70"/>
      <c r="M168" s="71">
        <v>12906</v>
      </c>
      <c r="N168" s="72" t="s">
        <v>116</v>
      </c>
      <c r="O168" s="64" t="s">
        <v>392</v>
      </c>
    </row>
    <row r="169" spans="1:15" ht="18.75" hidden="1" customHeight="1">
      <c r="A169" s="63">
        <v>163</v>
      </c>
      <c r="B169" s="63">
        <v>1</v>
      </c>
      <c r="C169" s="62" t="s">
        <v>45</v>
      </c>
      <c r="D169" s="65" t="s">
        <v>393</v>
      </c>
      <c r="E169" s="66"/>
      <c r="F169" s="66">
        <v>0</v>
      </c>
      <c r="G169" s="66">
        <v>0</v>
      </c>
      <c r="H169" s="66">
        <v>0</v>
      </c>
      <c r="I169" s="77" t="s">
        <v>123</v>
      </c>
      <c r="J169" s="68"/>
      <c r="K169" s="80"/>
      <c r="L169" s="90"/>
      <c r="M169" s="82"/>
      <c r="N169" s="72"/>
      <c r="O169" s="64" t="s">
        <v>394</v>
      </c>
    </row>
    <row r="170" spans="1:15" ht="18.75" hidden="1" customHeight="1">
      <c r="A170" s="63">
        <v>164</v>
      </c>
      <c r="B170" s="63">
        <v>2</v>
      </c>
      <c r="C170" s="62" t="s">
        <v>45</v>
      </c>
      <c r="D170" s="65" t="s">
        <v>395</v>
      </c>
      <c r="E170" s="66"/>
      <c r="F170" s="66">
        <v>0</v>
      </c>
      <c r="G170" s="66">
        <v>0</v>
      </c>
      <c r="H170" s="66">
        <v>0</v>
      </c>
      <c r="I170" s="78" t="s">
        <v>123</v>
      </c>
      <c r="J170" s="68"/>
      <c r="K170" s="80"/>
      <c r="L170" s="90"/>
      <c r="M170" s="82"/>
      <c r="N170" s="72"/>
      <c r="O170" s="64" t="s">
        <v>394</v>
      </c>
    </row>
    <row r="171" spans="1:15" ht="18.75" hidden="1" customHeight="1">
      <c r="A171" s="63">
        <v>165</v>
      </c>
      <c r="B171" s="63">
        <v>3</v>
      </c>
      <c r="C171" s="62" t="s">
        <v>45</v>
      </c>
      <c r="D171" s="65" t="s">
        <v>396</v>
      </c>
      <c r="E171" s="66">
        <v>45.23845458892</v>
      </c>
      <c r="F171" s="66">
        <v>0</v>
      </c>
      <c r="G171" s="66">
        <v>38.997428526109999</v>
      </c>
      <c r="H171" s="66">
        <v>38.997428526109999</v>
      </c>
      <c r="I171" s="77" t="s">
        <v>123</v>
      </c>
      <c r="J171" s="68"/>
      <c r="K171" s="80"/>
      <c r="L171" s="90"/>
      <c r="M171" s="82"/>
      <c r="N171" s="72"/>
      <c r="O171" s="64" t="s">
        <v>394</v>
      </c>
    </row>
    <row r="172" spans="1:15" ht="18.75" hidden="1" customHeight="1">
      <c r="A172" s="63">
        <v>166</v>
      </c>
      <c r="B172" s="63">
        <v>4</v>
      </c>
      <c r="C172" s="62" t="s">
        <v>45</v>
      </c>
      <c r="D172" s="65" t="s">
        <v>397</v>
      </c>
      <c r="E172" s="66">
        <v>28.1403319839517</v>
      </c>
      <c r="F172" s="66">
        <v>0.21174907171340002</v>
      </c>
      <c r="G172" s="66">
        <v>25.970594561111</v>
      </c>
      <c r="H172" s="66">
        <v>26.182343632824399</v>
      </c>
      <c r="I172" s="78" t="s">
        <v>123</v>
      </c>
      <c r="J172" s="68"/>
      <c r="K172" s="80"/>
      <c r="L172" s="90"/>
      <c r="M172" s="82"/>
      <c r="N172" s="72"/>
      <c r="O172" s="64" t="s">
        <v>394</v>
      </c>
    </row>
    <row r="173" spans="1:15" ht="18.75" hidden="1" customHeight="1">
      <c r="A173" s="63">
        <v>167</v>
      </c>
      <c r="B173" s="63">
        <v>5</v>
      </c>
      <c r="C173" s="62" t="s">
        <v>45</v>
      </c>
      <c r="D173" s="65" t="s">
        <v>398</v>
      </c>
      <c r="E173" s="66">
        <v>340.63980278888499</v>
      </c>
      <c r="F173" s="66">
        <v>13.32336007692</v>
      </c>
      <c r="G173" s="66">
        <v>281.14395014665001</v>
      </c>
      <c r="H173" s="66">
        <v>294.46731022357</v>
      </c>
      <c r="I173" s="77" t="s">
        <v>123</v>
      </c>
      <c r="J173" s="68"/>
      <c r="K173" s="80"/>
      <c r="L173" s="90"/>
      <c r="M173" s="82"/>
      <c r="N173" s="72"/>
      <c r="O173" s="64" t="s">
        <v>394</v>
      </c>
    </row>
    <row r="174" spans="1:15" ht="18.75" hidden="1" customHeight="1">
      <c r="A174" s="63">
        <v>168</v>
      </c>
      <c r="B174" s="63">
        <v>6</v>
      </c>
      <c r="C174" s="62" t="s">
        <v>45</v>
      </c>
      <c r="D174" s="65" t="s">
        <v>399</v>
      </c>
      <c r="E174" s="66"/>
      <c r="F174" s="66">
        <v>0</v>
      </c>
      <c r="G174" s="66">
        <v>0</v>
      </c>
      <c r="H174" s="66">
        <v>0</v>
      </c>
      <c r="I174" s="78" t="s">
        <v>123</v>
      </c>
      <c r="J174" s="68"/>
      <c r="K174" s="80"/>
      <c r="L174" s="90"/>
      <c r="M174" s="82"/>
      <c r="N174" s="72"/>
      <c r="O174" s="64" t="s">
        <v>394</v>
      </c>
    </row>
    <row r="175" spans="1:15" ht="18.75" customHeight="1">
      <c r="A175" s="63">
        <v>169</v>
      </c>
      <c r="B175" s="63">
        <v>1</v>
      </c>
      <c r="C175" s="62" t="s">
        <v>46</v>
      </c>
      <c r="D175" s="65" t="s">
        <v>400</v>
      </c>
      <c r="E175" s="66">
        <v>31158.227699080027</v>
      </c>
      <c r="F175" s="66">
        <v>335.23299634222877</v>
      </c>
      <c r="G175" s="66">
        <v>28464.51713444497</v>
      </c>
      <c r="H175" s="66">
        <v>28799.750130787197</v>
      </c>
      <c r="I175" s="77" t="s">
        <v>104</v>
      </c>
      <c r="J175" s="68">
        <v>31046.74</v>
      </c>
      <c r="K175" s="69"/>
      <c r="L175" s="79">
        <v>31046.74</v>
      </c>
      <c r="M175" s="71">
        <v>31046.74</v>
      </c>
      <c r="N175" s="72" t="s">
        <v>126</v>
      </c>
      <c r="O175" s="64" t="s">
        <v>401</v>
      </c>
    </row>
    <row r="176" spans="1:15" ht="20.25" customHeight="1">
      <c r="A176" s="63">
        <v>170</v>
      </c>
      <c r="B176" s="63">
        <v>2</v>
      </c>
      <c r="C176" s="62" t="s">
        <v>46</v>
      </c>
      <c r="D176" s="65" t="s">
        <v>402</v>
      </c>
      <c r="E176" s="66">
        <v>16767.182243187985</v>
      </c>
      <c r="F176" s="66">
        <v>102.72041382320693</v>
      </c>
      <c r="G176" s="66">
        <v>18271.769057954752</v>
      </c>
      <c r="H176" s="66">
        <v>18374.489471777961</v>
      </c>
      <c r="I176" s="78" t="s">
        <v>104</v>
      </c>
      <c r="J176" s="68">
        <v>11984</v>
      </c>
      <c r="K176" s="69"/>
      <c r="L176" s="79">
        <v>11984</v>
      </c>
      <c r="M176" s="71">
        <v>11984</v>
      </c>
      <c r="N176" s="72" t="s">
        <v>116</v>
      </c>
      <c r="O176" s="64" t="s">
        <v>403</v>
      </c>
    </row>
    <row r="177" spans="1:15" ht="20.25" customHeight="1">
      <c r="A177" s="63">
        <v>171</v>
      </c>
      <c r="B177" s="63">
        <v>3</v>
      </c>
      <c r="C177" s="62" t="s">
        <v>46</v>
      </c>
      <c r="D177" s="65" t="s">
        <v>404</v>
      </c>
      <c r="E177" s="66">
        <v>57510.76511166901</v>
      </c>
      <c r="F177" s="66">
        <v>8485.4450166326733</v>
      </c>
      <c r="G177" s="66">
        <v>44040.984574197071</v>
      </c>
      <c r="H177" s="66">
        <v>52526.429590829743</v>
      </c>
      <c r="I177" s="77" t="s">
        <v>104</v>
      </c>
      <c r="J177" s="68">
        <v>35244</v>
      </c>
      <c r="K177" s="69"/>
      <c r="L177" s="79">
        <v>35244</v>
      </c>
      <c r="M177" s="71">
        <v>35244</v>
      </c>
      <c r="N177" s="72" t="s">
        <v>116</v>
      </c>
      <c r="O177" s="64" t="s">
        <v>405</v>
      </c>
    </row>
    <row r="178" spans="1:15" ht="20.25" customHeight="1">
      <c r="A178" s="63">
        <v>172</v>
      </c>
      <c r="B178" s="63">
        <v>4</v>
      </c>
      <c r="C178" s="62" t="s">
        <v>46</v>
      </c>
      <c r="D178" s="65" t="s">
        <v>406</v>
      </c>
      <c r="E178" s="66">
        <v>46141.358702081998</v>
      </c>
      <c r="F178" s="66">
        <v>2527.6030280882201</v>
      </c>
      <c r="G178" s="66">
        <v>39452.387788721724</v>
      </c>
      <c r="H178" s="66">
        <v>41979.990816809943</v>
      </c>
      <c r="I178" s="78" t="s">
        <v>104</v>
      </c>
      <c r="J178" s="68">
        <v>46603.93</v>
      </c>
      <c r="K178" s="69"/>
      <c r="L178" s="79">
        <v>46141.358702081998</v>
      </c>
      <c r="M178" s="71">
        <v>46141.358702081998</v>
      </c>
      <c r="N178" s="72" t="s">
        <v>126</v>
      </c>
      <c r="O178" s="64" t="s">
        <v>256</v>
      </c>
    </row>
    <row r="179" spans="1:15" ht="20.25" customHeight="1">
      <c r="A179" s="63">
        <v>173</v>
      </c>
      <c r="B179" s="63">
        <v>5</v>
      </c>
      <c r="C179" s="62" t="s">
        <v>46</v>
      </c>
      <c r="D179" s="65" t="s">
        <v>407</v>
      </c>
      <c r="E179" s="66">
        <v>31300.381601643003</v>
      </c>
      <c r="F179" s="66">
        <v>294.74781507039194</v>
      </c>
      <c r="G179" s="66">
        <v>32098.595074279347</v>
      </c>
      <c r="H179" s="66">
        <v>32393.34288934974</v>
      </c>
      <c r="I179" s="77" t="s">
        <v>91</v>
      </c>
      <c r="J179" s="68">
        <v>33071.949999999997</v>
      </c>
      <c r="K179" s="69">
        <v>25952</v>
      </c>
      <c r="L179" s="70"/>
      <c r="M179" s="71">
        <v>25952</v>
      </c>
      <c r="N179" s="72" t="s">
        <v>97</v>
      </c>
      <c r="O179" s="91" t="s">
        <v>408</v>
      </c>
    </row>
    <row r="180" spans="1:15" ht="20.25" customHeight="1">
      <c r="A180" s="63">
        <v>174</v>
      </c>
      <c r="B180" s="63">
        <v>6</v>
      </c>
      <c r="C180" s="62" t="s">
        <v>46</v>
      </c>
      <c r="D180" s="65" t="s">
        <v>409</v>
      </c>
      <c r="E180" s="66">
        <v>67510.813003902484</v>
      </c>
      <c r="F180" s="66">
        <v>3057.6440616984837</v>
      </c>
      <c r="G180" s="66">
        <v>63028.533157002792</v>
      </c>
      <c r="H180" s="66">
        <v>66086.177218701283</v>
      </c>
      <c r="I180" s="78" t="s">
        <v>91</v>
      </c>
      <c r="J180" s="68">
        <v>53615.47</v>
      </c>
      <c r="K180" s="69">
        <v>45577</v>
      </c>
      <c r="L180" s="70"/>
      <c r="M180" s="71">
        <v>45577</v>
      </c>
      <c r="N180" s="72" t="s">
        <v>97</v>
      </c>
      <c r="O180" s="91" t="s">
        <v>410</v>
      </c>
    </row>
    <row r="181" spans="1:15" ht="20.25" customHeight="1">
      <c r="A181" s="63">
        <v>175</v>
      </c>
      <c r="B181" s="63">
        <v>7</v>
      </c>
      <c r="C181" s="62" t="s">
        <v>46</v>
      </c>
      <c r="D181" s="65" t="s">
        <v>411</v>
      </c>
      <c r="E181" s="66">
        <v>53396.24363379123</v>
      </c>
      <c r="F181" s="66">
        <v>95.410786753738407</v>
      </c>
      <c r="G181" s="66">
        <v>50370.967646716977</v>
      </c>
      <c r="H181" s="66">
        <v>50466.378433470716</v>
      </c>
      <c r="I181" s="77" t="s">
        <v>91</v>
      </c>
      <c r="J181" s="68">
        <v>43000</v>
      </c>
      <c r="K181" s="69">
        <v>34154.999200999999</v>
      </c>
      <c r="L181" s="70"/>
      <c r="M181" s="71">
        <v>34154.999200999999</v>
      </c>
      <c r="N181" s="72" t="s">
        <v>116</v>
      </c>
      <c r="O181" s="64" t="s">
        <v>412</v>
      </c>
    </row>
    <row r="182" spans="1:15" ht="20.25" customHeight="1">
      <c r="A182" s="63">
        <v>176</v>
      </c>
      <c r="B182" s="63">
        <v>8</v>
      </c>
      <c r="C182" s="62" t="s">
        <v>46</v>
      </c>
      <c r="D182" s="65" t="s">
        <v>413</v>
      </c>
      <c r="E182" s="66">
        <v>42718.659462992306</v>
      </c>
      <c r="F182" s="66">
        <v>2656.4089700110558</v>
      </c>
      <c r="G182" s="66">
        <v>44167.771478173257</v>
      </c>
      <c r="H182" s="66">
        <v>46824.180448184314</v>
      </c>
      <c r="I182" s="78" t="s">
        <v>91</v>
      </c>
      <c r="J182" s="68">
        <v>44028</v>
      </c>
      <c r="K182" s="69">
        <v>29615</v>
      </c>
      <c r="L182" s="70"/>
      <c r="M182" s="71">
        <v>29615</v>
      </c>
      <c r="N182" s="72" t="s">
        <v>116</v>
      </c>
      <c r="O182" s="64" t="s">
        <v>311</v>
      </c>
    </row>
    <row r="183" spans="1:15" ht="20.25" customHeight="1">
      <c r="A183" s="63">
        <v>177</v>
      </c>
      <c r="B183" s="63">
        <v>9</v>
      </c>
      <c r="C183" s="62" t="s">
        <v>46</v>
      </c>
      <c r="D183" s="65" t="s">
        <v>414</v>
      </c>
      <c r="E183" s="66">
        <v>122920.09722636723</v>
      </c>
      <c r="F183" s="66">
        <v>15497.039568355051</v>
      </c>
      <c r="G183" s="66">
        <v>110591.39226685686</v>
      </c>
      <c r="H183" s="66">
        <v>126088.4318352119</v>
      </c>
      <c r="I183" s="77" t="s">
        <v>91</v>
      </c>
      <c r="J183" s="68">
        <v>84684</v>
      </c>
      <c r="K183" s="69">
        <v>84025.521109391237</v>
      </c>
      <c r="L183" s="70"/>
      <c r="M183" s="71">
        <v>84025.521109391237</v>
      </c>
      <c r="N183" s="72" t="s">
        <v>97</v>
      </c>
      <c r="O183" s="91" t="s">
        <v>415</v>
      </c>
    </row>
    <row r="184" spans="1:15" ht="20.25" customHeight="1">
      <c r="A184" s="63">
        <v>178</v>
      </c>
      <c r="B184" s="63">
        <v>10</v>
      </c>
      <c r="C184" s="62" t="s">
        <v>46</v>
      </c>
      <c r="D184" s="65" t="s">
        <v>416</v>
      </c>
      <c r="E184" s="66">
        <v>101961.77500078136</v>
      </c>
      <c r="F184" s="66">
        <v>1077.0799410470881</v>
      </c>
      <c r="G184" s="66">
        <v>98939.349163774168</v>
      </c>
      <c r="H184" s="66">
        <v>100016.42910482126</v>
      </c>
      <c r="I184" s="78" t="s">
        <v>91</v>
      </c>
      <c r="J184" s="68">
        <v>87253.1</v>
      </c>
      <c r="K184" s="69">
        <v>86708.903436697132</v>
      </c>
      <c r="L184" s="70"/>
      <c r="M184" s="71">
        <v>86708.903436697132</v>
      </c>
      <c r="N184" s="72" t="s">
        <v>92</v>
      </c>
      <c r="O184" s="91" t="s">
        <v>417</v>
      </c>
    </row>
    <row r="185" spans="1:15" ht="20.25" customHeight="1">
      <c r="A185" s="63">
        <v>179</v>
      </c>
      <c r="B185" s="63">
        <v>11</v>
      </c>
      <c r="C185" s="62" t="s">
        <v>46</v>
      </c>
      <c r="D185" s="65" t="s">
        <v>418</v>
      </c>
      <c r="E185" s="66">
        <v>1009.3719792299997</v>
      </c>
      <c r="F185" s="66">
        <v>65.550990049540701</v>
      </c>
      <c r="G185" s="66">
        <v>639.12814581986868</v>
      </c>
      <c r="H185" s="66">
        <v>704.67913586940938</v>
      </c>
      <c r="I185" s="77" t="s">
        <v>104</v>
      </c>
      <c r="J185" s="68">
        <v>54</v>
      </c>
      <c r="K185" s="69"/>
      <c r="L185" s="79">
        <v>54</v>
      </c>
      <c r="M185" s="71">
        <v>54</v>
      </c>
      <c r="N185" s="72" t="s">
        <v>116</v>
      </c>
      <c r="O185" s="64" t="s">
        <v>220</v>
      </c>
    </row>
    <row r="186" spans="1:15" ht="20.25" customHeight="1">
      <c r="A186" s="63">
        <v>180</v>
      </c>
      <c r="B186" s="63">
        <v>12</v>
      </c>
      <c r="C186" s="62" t="s">
        <v>46</v>
      </c>
      <c r="D186" s="65" t="s">
        <v>419</v>
      </c>
      <c r="E186" s="66">
        <v>3106.7060016591186</v>
      </c>
      <c r="F186" s="66">
        <v>1.5943524780559239</v>
      </c>
      <c r="G186" s="66">
        <v>3081.7430584961253</v>
      </c>
      <c r="H186" s="66">
        <v>3083.3374109741812</v>
      </c>
      <c r="I186" s="78" t="s">
        <v>104</v>
      </c>
      <c r="J186" s="68">
        <v>1642</v>
      </c>
      <c r="K186" s="69"/>
      <c r="L186" s="79">
        <v>1642</v>
      </c>
      <c r="M186" s="71">
        <v>1642</v>
      </c>
      <c r="N186" s="72" t="s">
        <v>116</v>
      </c>
      <c r="O186" s="64" t="s">
        <v>420</v>
      </c>
    </row>
    <row r="187" spans="1:15" ht="20.25" hidden="1" customHeight="1">
      <c r="A187" s="63">
        <v>181</v>
      </c>
      <c r="B187" s="63">
        <v>13</v>
      </c>
      <c r="C187" s="62" t="s">
        <v>46</v>
      </c>
      <c r="D187" s="65" t="s">
        <v>421</v>
      </c>
      <c r="E187" s="66">
        <v>531.61792129010007</v>
      </c>
      <c r="F187" s="66">
        <v>32.612658062376745</v>
      </c>
      <c r="G187" s="66">
        <v>227.05364515806485</v>
      </c>
      <c r="H187" s="66">
        <v>259.66630322044159</v>
      </c>
      <c r="I187" s="77" t="s">
        <v>123</v>
      </c>
      <c r="J187" s="68">
        <v>0</v>
      </c>
      <c r="K187" s="80"/>
      <c r="L187" s="81"/>
      <c r="M187" s="82">
        <v>0</v>
      </c>
      <c r="N187" s="72" t="s">
        <v>116</v>
      </c>
      <c r="O187" s="64" t="s">
        <v>422</v>
      </c>
    </row>
    <row r="188" spans="1:15" ht="20.25" customHeight="1">
      <c r="A188" s="63">
        <v>182</v>
      </c>
      <c r="B188" s="63">
        <v>14</v>
      </c>
      <c r="C188" s="62" t="s">
        <v>46</v>
      </c>
      <c r="D188" s="65" t="s">
        <v>423</v>
      </c>
      <c r="E188" s="66">
        <v>86.447775373743042</v>
      </c>
      <c r="F188" s="66">
        <v>1.4528635087750001</v>
      </c>
      <c r="G188" s="66">
        <v>161.39146819832376</v>
      </c>
      <c r="H188" s="66">
        <v>162.84433170709877</v>
      </c>
      <c r="I188" s="78" t="s">
        <v>91</v>
      </c>
      <c r="J188" s="68">
        <v>58.64</v>
      </c>
      <c r="K188" s="69">
        <v>0</v>
      </c>
      <c r="L188" s="70"/>
      <c r="M188" s="71">
        <v>0</v>
      </c>
      <c r="N188" s="72" t="s">
        <v>126</v>
      </c>
      <c r="O188" s="64" t="s">
        <v>424</v>
      </c>
    </row>
    <row r="189" spans="1:15" ht="20.25" customHeight="1">
      <c r="A189" s="63">
        <v>183</v>
      </c>
      <c r="B189" s="63">
        <v>15</v>
      </c>
      <c r="C189" s="62" t="s">
        <v>46</v>
      </c>
      <c r="D189" s="65" t="s">
        <v>425</v>
      </c>
      <c r="E189" s="66">
        <v>177.19590084800004</v>
      </c>
      <c r="F189" s="66">
        <v>0</v>
      </c>
      <c r="G189" s="66">
        <v>138.15464572367404</v>
      </c>
      <c r="H189" s="66">
        <v>138.15464572367404</v>
      </c>
      <c r="I189" s="77" t="s">
        <v>104</v>
      </c>
      <c r="J189" s="68">
        <v>20</v>
      </c>
      <c r="K189" s="69"/>
      <c r="L189" s="79">
        <v>20</v>
      </c>
      <c r="M189" s="71">
        <v>20</v>
      </c>
      <c r="N189" s="72" t="s">
        <v>116</v>
      </c>
      <c r="O189" s="64" t="s">
        <v>420</v>
      </c>
    </row>
    <row r="190" spans="1:15" ht="20.25" customHeight="1">
      <c r="A190" s="63">
        <v>184</v>
      </c>
      <c r="B190" s="63">
        <v>16</v>
      </c>
      <c r="C190" s="62" t="s">
        <v>46</v>
      </c>
      <c r="D190" s="65" t="s">
        <v>426</v>
      </c>
      <c r="E190" s="66">
        <v>272.69626743929405</v>
      </c>
      <c r="F190" s="66">
        <v>0.152051362559843</v>
      </c>
      <c r="G190" s="66">
        <v>93.202779923813665</v>
      </c>
      <c r="H190" s="66">
        <v>93.354831286373511</v>
      </c>
      <c r="I190" s="78" t="s">
        <v>104</v>
      </c>
      <c r="J190" s="68">
        <v>2.9899999999999998</v>
      </c>
      <c r="K190" s="69"/>
      <c r="L190" s="79">
        <v>2.9899999999999998</v>
      </c>
      <c r="M190" s="71">
        <v>2.9899999999999998</v>
      </c>
      <c r="N190" s="72" t="s">
        <v>92</v>
      </c>
      <c r="O190" s="91" t="s">
        <v>427</v>
      </c>
    </row>
    <row r="191" spans="1:15" ht="20.25" customHeight="1">
      <c r="A191" s="63">
        <v>185</v>
      </c>
      <c r="B191" s="63">
        <v>17</v>
      </c>
      <c r="C191" s="62" t="s">
        <v>46</v>
      </c>
      <c r="D191" s="65" t="s">
        <v>428</v>
      </c>
      <c r="E191" s="66">
        <v>7.3879501038200006</v>
      </c>
      <c r="F191" s="66">
        <v>4.7402003830131996</v>
      </c>
      <c r="G191" s="66">
        <v>34.825708658759005</v>
      </c>
      <c r="H191" s="66">
        <v>39.565909041772201</v>
      </c>
      <c r="I191" s="77" t="s">
        <v>104</v>
      </c>
      <c r="J191" s="68">
        <v>5.84</v>
      </c>
      <c r="K191" s="69"/>
      <c r="L191" s="79">
        <v>5.84</v>
      </c>
      <c r="M191" s="71">
        <v>5.84</v>
      </c>
      <c r="N191" s="72" t="s">
        <v>116</v>
      </c>
      <c r="O191" s="64" t="s">
        <v>429</v>
      </c>
    </row>
    <row r="192" spans="1:15" ht="20.25" customHeight="1">
      <c r="A192" s="63">
        <v>186</v>
      </c>
      <c r="B192" s="63">
        <v>18</v>
      </c>
      <c r="C192" s="62" t="s">
        <v>46</v>
      </c>
      <c r="D192" s="65" t="s">
        <v>430</v>
      </c>
      <c r="E192" s="66">
        <v>1509.8589320140009</v>
      </c>
      <c r="F192" s="66">
        <v>2.1465147175869994</v>
      </c>
      <c r="G192" s="66">
        <v>1229.6353331950463</v>
      </c>
      <c r="H192" s="66">
        <v>1231.7818479126333</v>
      </c>
      <c r="I192" s="78" t="s">
        <v>91</v>
      </c>
      <c r="J192" s="68">
        <v>425</v>
      </c>
      <c r="K192" s="69">
        <v>397</v>
      </c>
      <c r="L192" s="70"/>
      <c r="M192" s="71">
        <v>397</v>
      </c>
      <c r="N192" s="72" t="s">
        <v>116</v>
      </c>
      <c r="O192" s="64" t="s">
        <v>159</v>
      </c>
    </row>
    <row r="193" spans="1:15" ht="20.25" hidden="1" customHeight="1">
      <c r="A193" s="63">
        <v>187</v>
      </c>
      <c r="B193" s="63">
        <v>19</v>
      </c>
      <c r="C193" s="62" t="s">
        <v>46</v>
      </c>
      <c r="D193" s="65" t="s">
        <v>431</v>
      </c>
      <c r="E193" s="66">
        <v>5373.1439484360899</v>
      </c>
      <c r="F193" s="66">
        <v>8.306899698371911</v>
      </c>
      <c r="G193" s="66">
        <v>4822.7181004810991</v>
      </c>
      <c r="H193" s="66">
        <v>4831.0250001794711</v>
      </c>
      <c r="I193" s="77" t="s">
        <v>123</v>
      </c>
      <c r="J193" s="68">
        <v>0</v>
      </c>
      <c r="K193" s="80"/>
      <c r="L193" s="81"/>
      <c r="M193" s="82">
        <v>0</v>
      </c>
      <c r="N193" s="72" t="s">
        <v>116</v>
      </c>
      <c r="O193" s="64" t="s">
        <v>432</v>
      </c>
    </row>
    <row r="194" spans="1:15" ht="20.25" customHeight="1">
      <c r="A194" s="63">
        <v>188</v>
      </c>
      <c r="B194" s="63">
        <v>20</v>
      </c>
      <c r="C194" s="62" t="s">
        <v>46</v>
      </c>
      <c r="D194" s="65" t="s">
        <v>433</v>
      </c>
      <c r="E194" s="66">
        <v>28016.982784532218</v>
      </c>
      <c r="F194" s="66">
        <v>906.16467075232868</v>
      </c>
      <c r="G194" s="66">
        <v>25109.385619987141</v>
      </c>
      <c r="H194" s="66">
        <v>26015.550290739469</v>
      </c>
      <c r="I194" s="78" t="s">
        <v>91</v>
      </c>
      <c r="J194" s="68">
        <v>22997</v>
      </c>
      <c r="K194" s="69">
        <v>20686</v>
      </c>
      <c r="L194" s="70"/>
      <c r="M194" s="71">
        <v>20686</v>
      </c>
      <c r="N194" s="72" t="s">
        <v>97</v>
      </c>
      <c r="O194" s="91" t="s">
        <v>434</v>
      </c>
    </row>
    <row r="195" spans="1:15" ht="20.25" customHeight="1">
      <c r="A195" s="63">
        <v>189</v>
      </c>
      <c r="B195" s="63">
        <v>21</v>
      </c>
      <c r="C195" s="62" t="s">
        <v>46</v>
      </c>
      <c r="D195" s="65" t="s">
        <v>435</v>
      </c>
      <c r="E195" s="66">
        <v>56161.634647420331</v>
      </c>
      <c r="F195" s="66">
        <v>3188.2816291017116</v>
      </c>
      <c r="G195" s="66">
        <v>46934.879999040219</v>
      </c>
      <c r="H195" s="66">
        <v>50123.161628141926</v>
      </c>
      <c r="I195" s="77" t="s">
        <v>91</v>
      </c>
      <c r="J195" s="68">
        <v>30996.42</v>
      </c>
      <c r="K195" s="69">
        <v>30293</v>
      </c>
      <c r="L195" s="70"/>
      <c r="M195" s="71">
        <v>30293</v>
      </c>
      <c r="N195" s="72" t="s">
        <v>97</v>
      </c>
      <c r="O195" s="91" t="s">
        <v>436</v>
      </c>
    </row>
    <row r="196" spans="1:15" ht="20.25" customHeight="1">
      <c r="A196" s="63">
        <v>190</v>
      </c>
      <c r="B196" s="63">
        <v>22</v>
      </c>
      <c r="C196" s="62" t="s">
        <v>46</v>
      </c>
      <c r="D196" s="65" t="s">
        <v>437</v>
      </c>
      <c r="E196" s="66">
        <v>17674.683865806546</v>
      </c>
      <c r="F196" s="66">
        <v>1028.8447121510246</v>
      </c>
      <c r="G196" s="66">
        <v>17268.193001014366</v>
      </c>
      <c r="H196" s="66">
        <v>18297.037713165391</v>
      </c>
      <c r="I196" s="78" t="s">
        <v>104</v>
      </c>
      <c r="J196" s="68">
        <v>20122</v>
      </c>
      <c r="K196" s="69"/>
      <c r="L196" s="79">
        <v>17674.683865806546</v>
      </c>
      <c r="M196" s="71">
        <v>17674.683865806546</v>
      </c>
      <c r="N196" s="72" t="s">
        <v>116</v>
      </c>
      <c r="O196" s="64" t="s">
        <v>438</v>
      </c>
    </row>
    <row r="197" spans="1:15" ht="20.25" customHeight="1">
      <c r="A197" s="63">
        <v>191</v>
      </c>
      <c r="B197" s="63">
        <v>23</v>
      </c>
      <c r="C197" s="62" t="s">
        <v>46</v>
      </c>
      <c r="D197" s="65" t="s">
        <v>439</v>
      </c>
      <c r="E197" s="66">
        <v>19245.060403105945</v>
      </c>
      <c r="F197" s="66">
        <v>2038.1616431061993</v>
      </c>
      <c r="G197" s="66">
        <v>16464.408144580244</v>
      </c>
      <c r="H197" s="66">
        <v>18502.569787686443</v>
      </c>
      <c r="I197" s="77" t="s">
        <v>91</v>
      </c>
      <c r="J197" s="68">
        <v>16240</v>
      </c>
      <c r="K197" s="69">
        <v>15846</v>
      </c>
      <c r="L197" s="70"/>
      <c r="M197" s="71">
        <v>15846</v>
      </c>
      <c r="N197" s="72" t="s">
        <v>97</v>
      </c>
      <c r="O197" s="91" t="s">
        <v>440</v>
      </c>
    </row>
    <row r="198" spans="1:15" ht="20.25" customHeight="1">
      <c r="A198" s="63">
        <v>192</v>
      </c>
      <c r="B198" s="63">
        <v>24</v>
      </c>
      <c r="C198" s="62" t="s">
        <v>46</v>
      </c>
      <c r="D198" s="65" t="s">
        <v>441</v>
      </c>
      <c r="E198" s="66">
        <v>90531.767625159118</v>
      </c>
      <c r="F198" s="66">
        <v>7367.4745619307369</v>
      </c>
      <c r="G198" s="66">
        <v>84429.371577593396</v>
      </c>
      <c r="H198" s="66">
        <v>91796.846139524132</v>
      </c>
      <c r="I198" s="78" t="s">
        <v>91</v>
      </c>
      <c r="J198" s="68">
        <v>70981.62</v>
      </c>
      <c r="K198" s="69">
        <v>64468</v>
      </c>
      <c r="L198" s="70"/>
      <c r="M198" s="71">
        <v>64468</v>
      </c>
      <c r="N198" s="72" t="s">
        <v>97</v>
      </c>
      <c r="O198" s="91" t="s">
        <v>442</v>
      </c>
    </row>
    <row r="199" spans="1:15" ht="20.25" customHeight="1">
      <c r="A199" s="63">
        <v>193</v>
      </c>
      <c r="B199" s="63">
        <v>25</v>
      </c>
      <c r="C199" s="62" t="s">
        <v>46</v>
      </c>
      <c r="D199" s="65" t="s">
        <v>443</v>
      </c>
      <c r="E199" s="66">
        <v>56782.666303111815</v>
      </c>
      <c r="F199" s="66">
        <v>4631.4109291613177</v>
      </c>
      <c r="G199" s="66">
        <v>57583.434892128891</v>
      </c>
      <c r="H199" s="66">
        <v>62214.845821290211</v>
      </c>
      <c r="I199" s="77" t="s">
        <v>104</v>
      </c>
      <c r="J199" s="68">
        <v>64077</v>
      </c>
      <c r="K199" s="69"/>
      <c r="L199" s="79">
        <v>56782.666303111815</v>
      </c>
      <c r="M199" s="71">
        <v>56782.666303111815</v>
      </c>
      <c r="N199" s="72" t="s">
        <v>126</v>
      </c>
      <c r="O199" s="64" t="s">
        <v>444</v>
      </c>
    </row>
    <row r="200" spans="1:15" ht="20.25" customHeight="1">
      <c r="A200" s="63">
        <v>194</v>
      </c>
      <c r="B200" s="63">
        <v>26</v>
      </c>
      <c r="C200" s="62" t="s">
        <v>46</v>
      </c>
      <c r="D200" s="65" t="s">
        <v>445</v>
      </c>
      <c r="E200" s="66">
        <v>31166.802586330381</v>
      </c>
      <c r="F200" s="66">
        <v>713.3064702522513</v>
      </c>
      <c r="G200" s="66">
        <v>26249.435401336726</v>
      </c>
      <c r="H200" s="66">
        <v>26962.741871588976</v>
      </c>
      <c r="I200" s="78" t="s">
        <v>91</v>
      </c>
      <c r="J200" s="68">
        <v>21152.74</v>
      </c>
      <c r="K200" s="69">
        <v>16799.3332618155</v>
      </c>
      <c r="L200" s="75"/>
      <c r="M200" s="71">
        <v>16799.3332618155</v>
      </c>
      <c r="N200" s="72" t="s">
        <v>97</v>
      </c>
      <c r="O200" s="83" t="s">
        <v>446</v>
      </c>
    </row>
    <row r="201" spans="1:15" ht="20.25" customHeight="1">
      <c r="A201" s="63">
        <v>195</v>
      </c>
      <c r="B201" s="63">
        <v>27</v>
      </c>
      <c r="C201" s="62" t="s">
        <v>46</v>
      </c>
      <c r="D201" s="65" t="s">
        <v>447</v>
      </c>
      <c r="E201" s="66">
        <v>45178.452436232699</v>
      </c>
      <c r="F201" s="66">
        <v>1989.5723690181762</v>
      </c>
      <c r="G201" s="66">
        <v>46795.983009976597</v>
      </c>
      <c r="H201" s="66">
        <v>48785.555378994773</v>
      </c>
      <c r="I201" s="77" t="s">
        <v>91</v>
      </c>
      <c r="J201" s="68">
        <v>40346</v>
      </c>
      <c r="K201" s="69">
        <v>36791</v>
      </c>
      <c r="L201" s="70"/>
      <c r="M201" s="71">
        <v>36791</v>
      </c>
      <c r="N201" s="72" t="s">
        <v>92</v>
      </c>
      <c r="O201" s="91" t="s">
        <v>448</v>
      </c>
    </row>
    <row r="202" spans="1:15" ht="20.25" customHeight="1">
      <c r="A202" s="63">
        <v>196</v>
      </c>
      <c r="B202" s="63">
        <v>1</v>
      </c>
      <c r="C202" s="62" t="s">
        <v>47</v>
      </c>
      <c r="D202" s="65" t="s">
        <v>449</v>
      </c>
      <c r="E202" s="66">
        <v>12101.499887402359</v>
      </c>
      <c r="F202" s="66">
        <v>25.64993279228435</v>
      </c>
      <c r="G202" s="66">
        <v>11294.436027873397</v>
      </c>
      <c r="H202" s="66">
        <v>11320.085960665681</v>
      </c>
      <c r="I202" s="78" t="s">
        <v>91</v>
      </c>
      <c r="J202" s="68">
        <v>13672</v>
      </c>
      <c r="K202" s="69">
        <v>9438</v>
      </c>
      <c r="L202" s="70"/>
      <c r="M202" s="71">
        <v>9438</v>
      </c>
      <c r="N202" s="72" t="s">
        <v>97</v>
      </c>
      <c r="O202" s="64" t="s">
        <v>450</v>
      </c>
    </row>
    <row r="203" spans="1:15" ht="20.25" customHeight="1">
      <c r="A203" s="63">
        <v>197</v>
      </c>
      <c r="B203" s="63">
        <v>2</v>
      </c>
      <c r="C203" s="62" t="s">
        <v>47</v>
      </c>
      <c r="D203" s="65" t="s">
        <v>451</v>
      </c>
      <c r="E203" s="66">
        <v>30896.313923130165</v>
      </c>
      <c r="F203" s="66">
        <v>223.67271353277934</v>
      </c>
      <c r="G203" s="66">
        <v>30441.296040159526</v>
      </c>
      <c r="H203" s="66">
        <v>30664.968753692305</v>
      </c>
      <c r="I203" s="77" t="s">
        <v>91</v>
      </c>
      <c r="J203" s="68">
        <v>25472.239999999998</v>
      </c>
      <c r="K203" s="69">
        <v>25160.013346573454</v>
      </c>
      <c r="L203" s="70"/>
      <c r="M203" s="71">
        <v>25160.013346573454</v>
      </c>
      <c r="N203" s="72" t="s">
        <v>97</v>
      </c>
      <c r="O203" s="76" t="s">
        <v>452</v>
      </c>
    </row>
    <row r="204" spans="1:15" ht="20.25" customHeight="1">
      <c r="A204" s="63">
        <v>198</v>
      </c>
      <c r="B204" s="63">
        <v>3</v>
      </c>
      <c r="C204" s="62" t="s">
        <v>47</v>
      </c>
      <c r="D204" s="65" t="s">
        <v>453</v>
      </c>
      <c r="E204" s="66">
        <v>18304.490890100722</v>
      </c>
      <c r="F204" s="66">
        <v>120.34008700010838</v>
      </c>
      <c r="G204" s="66">
        <v>16683.06131873409</v>
      </c>
      <c r="H204" s="66">
        <v>16803.401405734199</v>
      </c>
      <c r="I204" s="78" t="s">
        <v>91</v>
      </c>
      <c r="J204" s="68">
        <v>26394</v>
      </c>
      <c r="K204" s="69">
        <v>16491</v>
      </c>
      <c r="L204" s="70"/>
      <c r="M204" s="71">
        <v>16491</v>
      </c>
      <c r="N204" s="72" t="s">
        <v>116</v>
      </c>
      <c r="O204" s="64" t="s">
        <v>454</v>
      </c>
    </row>
    <row r="205" spans="1:15" ht="20.25" customHeight="1">
      <c r="A205" s="63">
        <v>199</v>
      </c>
      <c r="B205" s="63">
        <v>4</v>
      </c>
      <c r="C205" s="62" t="s">
        <v>47</v>
      </c>
      <c r="D205" s="65" t="s">
        <v>455</v>
      </c>
      <c r="E205" s="66">
        <v>69760.015452482301</v>
      </c>
      <c r="F205" s="66">
        <v>3326.6721145698266</v>
      </c>
      <c r="G205" s="66">
        <v>65866.893089501536</v>
      </c>
      <c r="H205" s="66">
        <v>69193.565204071361</v>
      </c>
      <c r="I205" s="77" t="s">
        <v>91</v>
      </c>
      <c r="J205" s="68">
        <v>65755</v>
      </c>
      <c r="K205" s="69">
        <v>52939</v>
      </c>
      <c r="L205" s="70"/>
      <c r="M205" s="71">
        <v>52939</v>
      </c>
      <c r="N205" s="72" t="s">
        <v>116</v>
      </c>
      <c r="O205" s="64" t="s">
        <v>304</v>
      </c>
    </row>
    <row r="206" spans="1:15" ht="20.25" customHeight="1">
      <c r="A206" s="63">
        <v>200</v>
      </c>
      <c r="B206" s="63">
        <v>5</v>
      </c>
      <c r="C206" s="62" t="s">
        <v>47</v>
      </c>
      <c r="D206" s="65" t="s">
        <v>456</v>
      </c>
      <c r="E206" s="66">
        <v>27521.694127675477</v>
      </c>
      <c r="F206" s="66">
        <v>160.61265278390329</v>
      </c>
      <c r="G206" s="66">
        <v>20924.512120629097</v>
      </c>
      <c r="H206" s="66">
        <v>21085.124773413001</v>
      </c>
      <c r="I206" s="78" t="s">
        <v>91</v>
      </c>
      <c r="J206" s="68">
        <v>20694</v>
      </c>
      <c r="K206" s="69">
        <v>19888</v>
      </c>
      <c r="L206" s="70"/>
      <c r="M206" s="71">
        <v>19888</v>
      </c>
      <c r="N206" s="72" t="s">
        <v>116</v>
      </c>
      <c r="O206" s="64" t="s">
        <v>331</v>
      </c>
    </row>
    <row r="207" spans="1:15" ht="20.25" customHeight="1">
      <c r="A207" s="63">
        <v>201</v>
      </c>
      <c r="B207" s="63">
        <v>6</v>
      </c>
      <c r="C207" s="62" t="s">
        <v>47</v>
      </c>
      <c r="D207" s="65" t="s">
        <v>457</v>
      </c>
      <c r="E207" s="66">
        <v>65108.001738484294</v>
      </c>
      <c r="F207" s="66">
        <v>2049.5930973026184</v>
      </c>
      <c r="G207" s="66">
        <v>61204.745029225298</v>
      </c>
      <c r="H207" s="66">
        <v>63254.338126527917</v>
      </c>
      <c r="I207" s="77" t="s">
        <v>91</v>
      </c>
      <c r="J207" s="68">
        <v>67856</v>
      </c>
      <c r="K207" s="69">
        <v>52430</v>
      </c>
      <c r="L207" s="70"/>
      <c r="M207" s="71">
        <v>52430</v>
      </c>
      <c r="N207" s="72" t="s">
        <v>116</v>
      </c>
      <c r="O207" s="64" t="s">
        <v>454</v>
      </c>
    </row>
    <row r="208" spans="1:15" ht="20.25" customHeight="1">
      <c r="A208" s="63">
        <v>202</v>
      </c>
      <c r="B208" s="63">
        <v>7</v>
      </c>
      <c r="C208" s="62" t="s">
        <v>47</v>
      </c>
      <c r="D208" s="65" t="s">
        <v>458</v>
      </c>
      <c r="E208" s="66">
        <v>66526.662719224652</v>
      </c>
      <c r="F208" s="66">
        <v>5681.652844530493</v>
      </c>
      <c r="G208" s="66">
        <v>61349.060513366079</v>
      </c>
      <c r="H208" s="66">
        <v>67030.713357896573</v>
      </c>
      <c r="I208" s="78" t="s">
        <v>91</v>
      </c>
      <c r="J208" s="68">
        <v>58913</v>
      </c>
      <c r="K208" s="69">
        <v>52960</v>
      </c>
      <c r="L208" s="70"/>
      <c r="M208" s="71">
        <v>52960</v>
      </c>
      <c r="N208" s="72" t="s">
        <v>116</v>
      </c>
      <c r="O208" s="64" t="s">
        <v>149</v>
      </c>
    </row>
    <row r="209" spans="1:15" ht="20.25" customHeight="1">
      <c r="A209" s="63">
        <v>203</v>
      </c>
      <c r="B209" s="63">
        <v>8</v>
      </c>
      <c r="C209" s="62" t="s">
        <v>47</v>
      </c>
      <c r="D209" s="65" t="s">
        <v>459</v>
      </c>
      <c r="E209" s="66">
        <v>59379.33971994579</v>
      </c>
      <c r="F209" s="66">
        <v>212.01622957007154</v>
      </c>
      <c r="G209" s="66">
        <v>57153.201902567787</v>
      </c>
      <c r="H209" s="66">
        <v>57365.218132137859</v>
      </c>
      <c r="I209" s="77" t="s">
        <v>91</v>
      </c>
      <c r="J209" s="68">
        <v>56530</v>
      </c>
      <c r="K209" s="69">
        <v>53792</v>
      </c>
      <c r="L209" s="70"/>
      <c r="M209" s="71">
        <v>53792</v>
      </c>
      <c r="N209" s="72" t="s">
        <v>116</v>
      </c>
      <c r="O209" s="64" t="s">
        <v>262</v>
      </c>
    </row>
    <row r="210" spans="1:15" ht="20.25" customHeight="1">
      <c r="A210" s="63">
        <v>204</v>
      </c>
      <c r="B210" s="63">
        <v>9</v>
      </c>
      <c r="C210" s="62" t="s">
        <v>47</v>
      </c>
      <c r="D210" s="65" t="s">
        <v>460</v>
      </c>
      <c r="E210" s="66">
        <v>90776.136106103586</v>
      </c>
      <c r="F210" s="66">
        <v>874.5048713850191</v>
      </c>
      <c r="G210" s="66">
        <v>81514.653603744126</v>
      </c>
      <c r="H210" s="66">
        <v>82389.158475129138</v>
      </c>
      <c r="I210" s="78" t="s">
        <v>91</v>
      </c>
      <c r="J210" s="68">
        <v>71949</v>
      </c>
      <c r="K210" s="69">
        <v>65956</v>
      </c>
      <c r="L210" s="70"/>
      <c r="M210" s="71">
        <v>65956</v>
      </c>
      <c r="N210" s="72" t="s">
        <v>116</v>
      </c>
      <c r="O210" s="64" t="s">
        <v>461</v>
      </c>
    </row>
    <row r="211" spans="1:15" ht="20.25" customHeight="1">
      <c r="A211" s="63">
        <v>205</v>
      </c>
      <c r="B211" s="63">
        <v>10</v>
      </c>
      <c r="C211" s="62" t="s">
        <v>47</v>
      </c>
      <c r="D211" s="65" t="s">
        <v>462</v>
      </c>
      <c r="E211" s="66">
        <v>26409.936588185781</v>
      </c>
      <c r="F211" s="66">
        <v>532.47347248481731</v>
      </c>
      <c r="G211" s="66">
        <v>25107.625477983907</v>
      </c>
      <c r="H211" s="66">
        <v>25640.098950468724</v>
      </c>
      <c r="I211" s="77" t="s">
        <v>91</v>
      </c>
      <c r="J211" s="68">
        <v>24086.05</v>
      </c>
      <c r="K211" s="69">
        <v>23293.876551455178</v>
      </c>
      <c r="L211" s="70"/>
      <c r="M211" s="71">
        <v>23293.876551455178</v>
      </c>
      <c r="N211" s="72" t="s">
        <v>97</v>
      </c>
      <c r="O211" s="64" t="s">
        <v>463</v>
      </c>
    </row>
    <row r="212" spans="1:15" ht="20.25" customHeight="1">
      <c r="A212" s="63">
        <v>206</v>
      </c>
      <c r="B212" s="63">
        <v>11</v>
      </c>
      <c r="C212" s="62" t="s">
        <v>47</v>
      </c>
      <c r="D212" s="65" t="s">
        <v>464</v>
      </c>
      <c r="E212" s="66">
        <v>22268.698337961141</v>
      </c>
      <c r="F212" s="66">
        <v>1.7813082838797458</v>
      </c>
      <c r="G212" s="66">
        <v>20723.980902458276</v>
      </c>
      <c r="H212" s="66">
        <v>20725.762210742156</v>
      </c>
      <c r="I212" s="78" t="s">
        <v>91</v>
      </c>
      <c r="J212" s="68">
        <v>23618</v>
      </c>
      <c r="K212" s="69">
        <v>15565</v>
      </c>
      <c r="L212" s="70"/>
      <c r="M212" s="71">
        <v>15565</v>
      </c>
      <c r="N212" s="72" t="s">
        <v>116</v>
      </c>
      <c r="O212" s="64" t="s">
        <v>465</v>
      </c>
    </row>
    <row r="213" spans="1:15" ht="20.25" customHeight="1">
      <c r="A213" s="63">
        <v>207</v>
      </c>
      <c r="B213" s="63">
        <v>12</v>
      </c>
      <c r="C213" s="62" t="s">
        <v>47</v>
      </c>
      <c r="D213" s="65" t="s">
        <v>466</v>
      </c>
      <c r="E213" s="66">
        <v>44085.109809824826</v>
      </c>
      <c r="F213" s="66">
        <v>21.521541986863333</v>
      </c>
      <c r="G213" s="66">
        <v>43849.749612963598</v>
      </c>
      <c r="H213" s="66">
        <v>43871.27115495046</v>
      </c>
      <c r="I213" s="77" t="s">
        <v>91</v>
      </c>
      <c r="J213" s="68">
        <v>43154.14</v>
      </c>
      <c r="K213" s="69">
        <v>41427.314260758096</v>
      </c>
      <c r="L213" s="70"/>
      <c r="M213" s="71">
        <v>41427.314260758096</v>
      </c>
      <c r="N213" s="72" t="s">
        <v>97</v>
      </c>
      <c r="O213" s="64" t="s">
        <v>467</v>
      </c>
    </row>
    <row r="214" spans="1:15" ht="20.25" customHeight="1">
      <c r="A214" s="63">
        <v>208</v>
      </c>
      <c r="B214" s="63">
        <v>13</v>
      </c>
      <c r="C214" s="62" t="s">
        <v>47</v>
      </c>
      <c r="D214" s="65" t="s">
        <v>468</v>
      </c>
      <c r="E214" s="66">
        <v>24334.791728148804</v>
      </c>
      <c r="F214" s="66">
        <v>237.76222629409199</v>
      </c>
      <c r="G214" s="66">
        <v>23099.772230345301</v>
      </c>
      <c r="H214" s="66">
        <v>23337.534456639394</v>
      </c>
      <c r="I214" s="78" t="s">
        <v>91</v>
      </c>
      <c r="J214" s="68">
        <v>25000</v>
      </c>
      <c r="K214" s="69">
        <v>20134</v>
      </c>
      <c r="L214" s="70"/>
      <c r="M214" s="71">
        <v>20134</v>
      </c>
      <c r="N214" s="72" t="s">
        <v>116</v>
      </c>
      <c r="O214" s="64" t="s">
        <v>262</v>
      </c>
    </row>
    <row r="215" spans="1:15" ht="20.25" customHeight="1">
      <c r="A215" s="63">
        <v>209</v>
      </c>
      <c r="B215" s="63">
        <v>14</v>
      </c>
      <c r="C215" s="62" t="s">
        <v>47</v>
      </c>
      <c r="D215" s="65" t="s">
        <v>469</v>
      </c>
      <c r="E215" s="66">
        <v>31705.462726412577</v>
      </c>
      <c r="F215" s="66">
        <v>10.073366641512065</v>
      </c>
      <c r="G215" s="66">
        <v>30061.226663458976</v>
      </c>
      <c r="H215" s="66">
        <v>30071.300030100487</v>
      </c>
      <c r="I215" s="77" t="s">
        <v>91</v>
      </c>
      <c r="J215" s="68">
        <v>32000</v>
      </c>
      <c r="K215" s="69">
        <v>25590</v>
      </c>
      <c r="L215" s="70"/>
      <c r="M215" s="71">
        <v>25590</v>
      </c>
      <c r="N215" s="72" t="s">
        <v>116</v>
      </c>
      <c r="O215" s="64" t="s">
        <v>470</v>
      </c>
    </row>
    <row r="216" spans="1:15" ht="20.25" customHeight="1">
      <c r="A216" s="63">
        <v>210</v>
      </c>
      <c r="B216" s="63">
        <v>21</v>
      </c>
      <c r="C216" s="62" t="s">
        <v>47</v>
      </c>
      <c r="D216" s="65" t="s">
        <v>471</v>
      </c>
      <c r="E216" s="66">
        <v>19984.066232970941</v>
      </c>
      <c r="F216" s="66">
        <v>128.63033427394492</v>
      </c>
      <c r="G216" s="66">
        <v>17114.646885197013</v>
      </c>
      <c r="H216" s="66">
        <v>17243.277219470958</v>
      </c>
      <c r="I216" s="78" t="s">
        <v>91</v>
      </c>
      <c r="J216" s="68">
        <v>20005</v>
      </c>
      <c r="K216" s="69">
        <v>15100.944998999999</v>
      </c>
      <c r="L216" s="70"/>
      <c r="M216" s="71">
        <v>15100.944998999999</v>
      </c>
      <c r="N216" s="72" t="s">
        <v>116</v>
      </c>
      <c r="O216" s="64" t="s">
        <v>159</v>
      </c>
    </row>
    <row r="217" spans="1:15" ht="20.25" customHeight="1">
      <c r="A217" s="63">
        <v>211</v>
      </c>
      <c r="B217" s="63">
        <v>22</v>
      </c>
      <c r="C217" s="62" t="s">
        <v>47</v>
      </c>
      <c r="D217" s="65" t="s">
        <v>472</v>
      </c>
      <c r="E217" s="66">
        <v>28690.964144130765</v>
      </c>
      <c r="F217" s="66">
        <v>11.628367462685722</v>
      </c>
      <c r="G217" s="66">
        <v>25794.113060088523</v>
      </c>
      <c r="H217" s="66">
        <v>25805.741427551209</v>
      </c>
      <c r="I217" s="77" t="s">
        <v>91</v>
      </c>
      <c r="J217" s="68">
        <v>25268.720000000001</v>
      </c>
      <c r="K217" s="69">
        <v>25284</v>
      </c>
      <c r="L217" s="70"/>
      <c r="M217" s="71">
        <v>25284</v>
      </c>
      <c r="N217" s="72" t="s">
        <v>97</v>
      </c>
      <c r="O217" s="64" t="s">
        <v>473</v>
      </c>
    </row>
    <row r="218" spans="1:15" ht="20.25" customHeight="1">
      <c r="A218" s="63">
        <v>212</v>
      </c>
      <c r="B218" s="63">
        <v>23</v>
      </c>
      <c r="C218" s="62" t="s">
        <v>47</v>
      </c>
      <c r="D218" s="65" t="s">
        <v>474</v>
      </c>
      <c r="E218" s="66">
        <v>59470.72187178921</v>
      </c>
      <c r="F218" s="66">
        <v>608.59019554517238</v>
      </c>
      <c r="G218" s="66">
        <v>57653.070998037954</v>
      </c>
      <c r="H218" s="66">
        <v>58261.661193583124</v>
      </c>
      <c r="I218" s="78" t="s">
        <v>91</v>
      </c>
      <c r="J218" s="68">
        <v>56881</v>
      </c>
      <c r="K218" s="69">
        <v>49514</v>
      </c>
      <c r="L218" s="70"/>
      <c r="M218" s="71">
        <v>49514</v>
      </c>
      <c r="N218" s="72" t="s">
        <v>116</v>
      </c>
      <c r="O218" s="64" t="s">
        <v>243</v>
      </c>
    </row>
    <row r="219" spans="1:15" ht="20.25" customHeight="1">
      <c r="A219" s="63">
        <v>213</v>
      </c>
      <c r="B219" s="63">
        <v>24</v>
      </c>
      <c r="C219" s="62" t="s">
        <v>47</v>
      </c>
      <c r="D219" s="65" t="s">
        <v>475</v>
      </c>
      <c r="E219" s="66">
        <v>22431.444152461918</v>
      </c>
      <c r="F219" s="66">
        <v>115.79392405376328</v>
      </c>
      <c r="G219" s="66">
        <v>19855.816887249679</v>
      </c>
      <c r="H219" s="66">
        <v>19971.610811303442</v>
      </c>
      <c r="I219" s="77" t="s">
        <v>91</v>
      </c>
      <c r="J219" s="68">
        <v>22211</v>
      </c>
      <c r="K219" s="69">
        <v>15310</v>
      </c>
      <c r="L219" s="70"/>
      <c r="M219" s="71">
        <v>15310</v>
      </c>
      <c r="N219" s="72" t="s">
        <v>116</v>
      </c>
      <c r="O219" s="64" t="s">
        <v>293</v>
      </c>
    </row>
    <row r="220" spans="1:15" ht="20.25" customHeight="1">
      <c r="A220" s="63">
        <v>214</v>
      </c>
      <c r="B220" s="63">
        <v>25</v>
      </c>
      <c r="C220" s="62" t="s">
        <v>47</v>
      </c>
      <c r="D220" s="65" t="s">
        <v>476</v>
      </c>
      <c r="E220" s="66">
        <v>35527.564209068856</v>
      </c>
      <c r="F220" s="66">
        <v>486.95242408543118</v>
      </c>
      <c r="G220" s="66">
        <v>33694.546572863343</v>
      </c>
      <c r="H220" s="66">
        <v>34181.498996948772</v>
      </c>
      <c r="I220" s="78" t="s">
        <v>91</v>
      </c>
      <c r="J220" s="68">
        <v>34299</v>
      </c>
      <c r="K220" s="69">
        <v>28196</v>
      </c>
      <c r="L220" s="70"/>
      <c r="M220" s="71">
        <v>28196</v>
      </c>
      <c r="N220" s="72" t="s">
        <v>116</v>
      </c>
      <c r="O220" s="64" t="s">
        <v>151</v>
      </c>
    </row>
    <row r="221" spans="1:15" ht="20.25" customHeight="1">
      <c r="A221" s="63">
        <v>215</v>
      </c>
      <c r="B221" s="63">
        <v>26</v>
      </c>
      <c r="C221" s="62" t="s">
        <v>47</v>
      </c>
      <c r="D221" s="65" t="s">
        <v>477</v>
      </c>
      <c r="E221" s="66">
        <v>19695.40733450132</v>
      </c>
      <c r="F221" s="66">
        <v>35.241359639547937</v>
      </c>
      <c r="G221" s="66">
        <v>17570.07708424659</v>
      </c>
      <c r="H221" s="66">
        <v>17605.318443886139</v>
      </c>
      <c r="I221" s="77" t="s">
        <v>91</v>
      </c>
      <c r="J221" s="68">
        <v>18584</v>
      </c>
      <c r="K221" s="69">
        <v>16716</v>
      </c>
      <c r="L221" s="70"/>
      <c r="M221" s="71">
        <v>16716</v>
      </c>
      <c r="N221" s="72" t="s">
        <v>116</v>
      </c>
      <c r="O221" s="64" t="s">
        <v>478</v>
      </c>
    </row>
    <row r="222" spans="1:15" ht="20.25" customHeight="1">
      <c r="A222" s="63">
        <v>216</v>
      </c>
      <c r="B222" s="63">
        <v>27</v>
      </c>
      <c r="C222" s="62" t="s">
        <v>47</v>
      </c>
      <c r="D222" s="65" t="s">
        <v>479</v>
      </c>
      <c r="E222" s="66">
        <v>29796.250619556002</v>
      </c>
      <c r="F222" s="66">
        <v>18.866414799275194</v>
      </c>
      <c r="G222" s="66">
        <v>28866.371347604174</v>
      </c>
      <c r="H222" s="66">
        <v>28885.237762403449</v>
      </c>
      <c r="I222" s="78" t="s">
        <v>91</v>
      </c>
      <c r="J222" s="68">
        <v>29273</v>
      </c>
      <c r="K222" s="69">
        <v>26811</v>
      </c>
      <c r="L222" s="70"/>
      <c r="M222" s="71">
        <v>26811</v>
      </c>
      <c r="N222" s="72" t="s">
        <v>116</v>
      </c>
      <c r="O222" s="64" t="s">
        <v>470</v>
      </c>
    </row>
    <row r="223" spans="1:15" ht="20.25" customHeight="1">
      <c r="A223" s="63">
        <v>217</v>
      </c>
      <c r="B223" s="63">
        <v>28</v>
      </c>
      <c r="C223" s="62" t="s">
        <v>47</v>
      </c>
      <c r="D223" s="65" t="s">
        <v>480</v>
      </c>
      <c r="E223" s="66">
        <v>38016.624463232241</v>
      </c>
      <c r="F223" s="66">
        <v>517.65930611272324</v>
      </c>
      <c r="G223" s="66">
        <v>32259.46023791092</v>
      </c>
      <c r="H223" s="66">
        <v>32777.119544023641</v>
      </c>
      <c r="I223" s="77" t="s">
        <v>91</v>
      </c>
      <c r="J223" s="68">
        <v>32736.74</v>
      </c>
      <c r="K223" s="69">
        <v>30197.4659615987</v>
      </c>
      <c r="L223" s="70"/>
      <c r="M223" s="71">
        <v>30197.4659615987</v>
      </c>
      <c r="N223" s="72" t="s">
        <v>97</v>
      </c>
      <c r="O223" s="64" t="s">
        <v>481</v>
      </c>
    </row>
    <row r="224" spans="1:15" ht="20.25" customHeight="1">
      <c r="A224" s="63">
        <v>218</v>
      </c>
      <c r="B224" s="63">
        <v>29</v>
      </c>
      <c r="C224" s="62" t="s">
        <v>47</v>
      </c>
      <c r="D224" s="65" t="s">
        <v>482</v>
      </c>
      <c r="E224" s="66">
        <v>22033.987595084003</v>
      </c>
      <c r="F224" s="66">
        <v>195.92427309537055</v>
      </c>
      <c r="G224" s="66">
        <v>19324.653900120404</v>
      </c>
      <c r="H224" s="66">
        <v>19520.578173215774</v>
      </c>
      <c r="I224" s="78" t="s">
        <v>91</v>
      </c>
      <c r="J224" s="68">
        <v>17869.990000000002</v>
      </c>
      <c r="K224" s="69">
        <v>17192</v>
      </c>
      <c r="L224" s="70"/>
      <c r="M224" s="71">
        <v>17192</v>
      </c>
      <c r="N224" s="72" t="s">
        <v>97</v>
      </c>
      <c r="O224" s="64" t="s">
        <v>483</v>
      </c>
    </row>
    <row r="225" spans="1:15" ht="20.25" customHeight="1">
      <c r="A225" s="63">
        <v>219</v>
      </c>
      <c r="B225" s="63">
        <v>30</v>
      </c>
      <c r="C225" s="62" t="s">
        <v>47</v>
      </c>
      <c r="D225" s="65" t="s">
        <v>484</v>
      </c>
      <c r="E225" s="66">
        <v>45222.027009312609</v>
      </c>
      <c r="F225" s="66">
        <v>371.05007520649048</v>
      </c>
      <c r="G225" s="66">
        <v>39882.704744120703</v>
      </c>
      <c r="H225" s="66">
        <v>40253.754819327194</v>
      </c>
      <c r="I225" s="77" t="s">
        <v>91</v>
      </c>
      <c r="J225" s="68">
        <v>42286</v>
      </c>
      <c r="K225" s="69">
        <v>33703</v>
      </c>
      <c r="L225" s="70"/>
      <c r="M225" s="71">
        <v>33703</v>
      </c>
      <c r="N225" s="72" t="s">
        <v>116</v>
      </c>
      <c r="O225" s="64" t="s">
        <v>262</v>
      </c>
    </row>
    <row r="226" spans="1:15" ht="20.25" customHeight="1">
      <c r="A226" s="63">
        <v>220</v>
      </c>
      <c r="B226" s="63">
        <v>31</v>
      </c>
      <c r="C226" s="62" t="s">
        <v>47</v>
      </c>
      <c r="D226" s="65" t="s">
        <v>485</v>
      </c>
      <c r="E226" s="66">
        <v>21824.760996559868</v>
      </c>
      <c r="F226" s="66">
        <v>25.85917194434646</v>
      </c>
      <c r="G226" s="66">
        <v>20059.373074228773</v>
      </c>
      <c r="H226" s="66">
        <v>20085.23224617312</v>
      </c>
      <c r="I226" s="78" t="s">
        <v>91</v>
      </c>
      <c r="J226" s="68">
        <v>23742</v>
      </c>
      <c r="K226" s="69">
        <v>17596</v>
      </c>
      <c r="L226" s="70"/>
      <c r="M226" s="71">
        <v>17596</v>
      </c>
      <c r="N226" s="72" t="s">
        <v>116</v>
      </c>
      <c r="O226" s="64" t="s">
        <v>151</v>
      </c>
    </row>
    <row r="227" spans="1:15" ht="20.25" customHeight="1">
      <c r="A227" s="63">
        <v>221</v>
      </c>
      <c r="B227" s="63">
        <v>32</v>
      </c>
      <c r="C227" s="62" t="s">
        <v>47</v>
      </c>
      <c r="D227" s="65" t="s">
        <v>486</v>
      </c>
      <c r="E227" s="66">
        <v>38965.168565923668</v>
      </c>
      <c r="F227" s="66">
        <v>1359.1352661292328</v>
      </c>
      <c r="G227" s="66">
        <v>38341.514692037832</v>
      </c>
      <c r="H227" s="66">
        <v>39700.649958167065</v>
      </c>
      <c r="I227" s="77" t="s">
        <v>91</v>
      </c>
      <c r="J227" s="68">
        <v>41573</v>
      </c>
      <c r="K227" s="69">
        <v>36322</v>
      </c>
      <c r="L227" s="70"/>
      <c r="M227" s="71">
        <v>36322</v>
      </c>
      <c r="N227" s="72" t="s">
        <v>97</v>
      </c>
      <c r="O227" s="64" t="s">
        <v>487</v>
      </c>
    </row>
    <row r="228" spans="1:15" ht="20.25" customHeight="1">
      <c r="A228" s="63">
        <v>222</v>
      </c>
      <c r="B228" s="63">
        <v>33</v>
      </c>
      <c r="C228" s="62" t="s">
        <v>47</v>
      </c>
      <c r="D228" s="65" t="s">
        <v>488</v>
      </c>
      <c r="E228" s="66">
        <v>17641.686535735011</v>
      </c>
      <c r="F228" s="66">
        <v>66.049378904794651</v>
      </c>
      <c r="G228" s="66">
        <v>17303.153053396298</v>
      </c>
      <c r="H228" s="66">
        <v>17369.202432301092</v>
      </c>
      <c r="I228" s="78" t="s">
        <v>91</v>
      </c>
      <c r="J228" s="68">
        <v>25709</v>
      </c>
      <c r="K228" s="69">
        <v>13763</v>
      </c>
      <c r="L228" s="70"/>
      <c r="M228" s="71">
        <v>13763</v>
      </c>
      <c r="N228" s="72" t="s">
        <v>126</v>
      </c>
      <c r="O228" s="64" t="s">
        <v>489</v>
      </c>
    </row>
    <row r="229" spans="1:15" ht="20.25" customHeight="1">
      <c r="A229" s="63">
        <v>223</v>
      </c>
      <c r="B229" s="63">
        <v>34</v>
      </c>
      <c r="C229" s="62" t="s">
        <v>47</v>
      </c>
      <c r="D229" s="65" t="s">
        <v>490</v>
      </c>
      <c r="E229" s="66">
        <v>44069.931506076828</v>
      </c>
      <c r="F229" s="66">
        <v>112.11218654428244</v>
      </c>
      <c r="G229" s="66">
        <v>37359.939138536058</v>
      </c>
      <c r="H229" s="66">
        <v>37472.051325080341</v>
      </c>
      <c r="I229" s="77" t="s">
        <v>91</v>
      </c>
      <c r="J229" s="68">
        <v>42076</v>
      </c>
      <c r="K229" s="69">
        <v>42038</v>
      </c>
      <c r="L229" s="70"/>
      <c r="M229" s="71">
        <v>42038</v>
      </c>
      <c r="N229" s="72" t="s">
        <v>116</v>
      </c>
      <c r="O229" s="64" t="s">
        <v>389</v>
      </c>
    </row>
    <row r="230" spans="1:15" ht="20.25" customHeight="1">
      <c r="A230" s="63">
        <v>224</v>
      </c>
      <c r="B230" s="63">
        <v>35</v>
      </c>
      <c r="C230" s="62" t="s">
        <v>47</v>
      </c>
      <c r="D230" s="65" t="s">
        <v>491</v>
      </c>
      <c r="E230" s="66">
        <v>12043.539308507035</v>
      </c>
      <c r="F230" s="66">
        <v>54.37313079869751</v>
      </c>
      <c r="G230" s="66">
        <v>11699.414361705481</v>
      </c>
      <c r="H230" s="66">
        <v>11753.78749250418</v>
      </c>
      <c r="I230" s="78" t="s">
        <v>91</v>
      </c>
      <c r="J230" s="68">
        <v>10168.57</v>
      </c>
      <c r="K230" s="69">
        <v>9590</v>
      </c>
      <c r="L230" s="70"/>
      <c r="M230" s="71">
        <v>9590</v>
      </c>
      <c r="N230" s="72" t="s">
        <v>97</v>
      </c>
      <c r="O230" s="64" t="s">
        <v>492</v>
      </c>
    </row>
    <row r="231" spans="1:15" ht="20.25" customHeight="1">
      <c r="A231" s="63">
        <v>225</v>
      </c>
      <c r="B231" s="63">
        <v>15</v>
      </c>
      <c r="C231" s="62" t="s">
        <v>47</v>
      </c>
      <c r="D231" s="65" t="s">
        <v>493</v>
      </c>
      <c r="E231" s="66">
        <v>170.95386731419504</v>
      </c>
      <c r="F231" s="66">
        <v>1.2127959607579999E-2</v>
      </c>
      <c r="G231" s="66">
        <v>109.2785040847166</v>
      </c>
      <c r="H231" s="66">
        <v>109.29063204432418</v>
      </c>
      <c r="I231" s="77" t="s">
        <v>91</v>
      </c>
      <c r="J231" s="68">
        <v>63</v>
      </c>
      <c r="K231" s="69">
        <v>59</v>
      </c>
      <c r="L231" s="70"/>
      <c r="M231" s="71">
        <v>59</v>
      </c>
      <c r="N231" s="72" t="s">
        <v>116</v>
      </c>
      <c r="O231" s="64" t="s">
        <v>389</v>
      </c>
    </row>
    <row r="232" spans="1:15" ht="20.25" customHeight="1">
      <c r="A232" s="63">
        <v>226</v>
      </c>
      <c r="B232" s="63">
        <v>16</v>
      </c>
      <c r="C232" s="62" t="s">
        <v>47</v>
      </c>
      <c r="D232" s="65" t="s">
        <v>494</v>
      </c>
      <c r="E232" s="66">
        <v>955.78232036645784</v>
      </c>
      <c r="F232" s="66">
        <v>9.6439426643980003E-2</v>
      </c>
      <c r="G232" s="66">
        <v>720.79963485736278</v>
      </c>
      <c r="H232" s="66">
        <v>720.89607428400677</v>
      </c>
      <c r="I232" s="78" t="s">
        <v>91</v>
      </c>
      <c r="J232" s="68">
        <v>521</v>
      </c>
      <c r="K232" s="69">
        <v>498</v>
      </c>
      <c r="L232" s="70"/>
      <c r="M232" s="71">
        <v>498</v>
      </c>
      <c r="N232" s="72" t="s">
        <v>116</v>
      </c>
      <c r="O232" s="64" t="s">
        <v>392</v>
      </c>
    </row>
    <row r="233" spans="1:15" ht="20.25" customHeight="1">
      <c r="A233" s="63">
        <v>227</v>
      </c>
      <c r="B233" s="63">
        <v>17</v>
      </c>
      <c r="C233" s="62" t="s">
        <v>47</v>
      </c>
      <c r="D233" s="65" t="s">
        <v>495</v>
      </c>
      <c r="E233" s="66">
        <v>623.50063346359082</v>
      </c>
      <c r="F233" s="66">
        <v>1.2975012479561001</v>
      </c>
      <c r="G233" s="66">
        <v>513.94456803770129</v>
      </c>
      <c r="H233" s="66">
        <v>515.24206928565741</v>
      </c>
      <c r="I233" s="77" t="s">
        <v>91</v>
      </c>
      <c r="J233" s="68">
        <v>417</v>
      </c>
      <c r="K233" s="69"/>
      <c r="L233" s="70" t="s">
        <v>394</v>
      </c>
      <c r="M233" s="71"/>
      <c r="N233" s="72" t="s">
        <v>116</v>
      </c>
      <c r="O233" s="64" t="s">
        <v>267</v>
      </c>
    </row>
    <row r="234" spans="1:15" ht="20.25" customHeight="1">
      <c r="A234" s="63">
        <v>228</v>
      </c>
      <c r="B234" s="63">
        <v>18</v>
      </c>
      <c r="C234" s="62" t="s">
        <v>47</v>
      </c>
      <c r="D234" s="65" t="s">
        <v>496</v>
      </c>
      <c r="E234" s="66">
        <v>2645.0035349671075</v>
      </c>
      <c r="F234" s="66">
        <v>125.14404524142617</v>
      </c>
      <c r="G234" s="66">
        <v>2035.6126078234424</v>
      </c>
      <c r="H234" s="66">
        <v>2160.7566530648687</v>
      </c>
      <c r="I234" s="78" t="s">
        <v>91</v>
      </c>
      <c r="J234" s="68">
        <v>2602</v>
      </c>
      <c r="K234" s="69">
        <v>1285</v>
      </c>
      <c r="L234" s="70"/>
      <c r="M234" s="71">
        <v>1285</v>
      </c>
      <c r="N234" s="72" t="s">
        <v>116</v>
      </c>
      <c r="O234" s="64" t="s">
        <v>304</v>
      </c>
    </row>
    <row r="235" spans="1:15" ht="20.25" hidden="1" customHeight="1">
      <c r="A235" s="63">
        <v>229</v>
      </c>
      <c r="B235" s="63">
        <v>19</v>
      </c>
      <c r="C235" s="62" t="s">
        <v>47</v>
      </c>
      <c r="D235" s="65" t="s">
        <v>497</v>
      </c>
      <c r="E235" s="66">
        <v>80.500914743999957</v>
      </c>
      <c r="F235" s="66">
        <v>0</v>
      </c>
      <c r="G235" s="66">
        <v>44.338193945541441</v>
      </c>
      <c r="H235" s="66">
        <v>44.338193945541441</v>
      </c>
      <c r="I235" s="77" t="s">
        <v>123</v>
      </c>
      <c r="J235" s="68">
        <v>0</v>
      </c>
      <c r="K235" s="80"/>
      <c r="L235" s="81"/>
      <c r="M235" s="82">
        <v>0</v>
      </c>
      <c r="N235" s="72" t="s">
        <v>116</v>
      </c>
      <c r="O235" s="64" t="s">
        <v>498</v>
      </c>
    </row>
    <row r="236" spans="1:15" ht="20.25" customHeight="1">
      <c r="A236" s="63">
        <v>230</v>
      </c>
      <c r="B236" s="63">
        <v>20</v>
      </c>
      <c r="C236" s="62" t="s">
        <v>47</v>
      </c>
      <c r="D236" s="65" t="s">
        <v>499</v>
      </c>
      <c r="E236" s="66">
        <v>592.76015424270008</v>
      </c>
      <c r="F236" s="66">
        <v>0.19146301708247002</v>
      </c>
      <c r="G236" s="66">
        <v>277.77428011916248</v>
      </c>
      <c r="H236" s="66">
        <v>277.96574313624495</v>
      </c>
      <c r="I236" s="78" t="s">
        <v>91</v>
      </c>
      <c r="J236" s="68">
        <v>382</v>
      </c>
      <c r="K236" s="69">
        <v>363</v>
      </c>
      <c r="L236" s="70"/>
      <c r="M236" s="71">
        <v>363</v>
      </c>
      <c r="N236" s="72" t="s">
        <v>116</v>
      </c>
      <c r="O236" s="64" t="s">
        <v>149</v>
      </c>
    </row>
    <row r="237" spans="1:15" ht="20.25" customHeight="1">
      <c r="A237" s="63">
        <v>231</v>
      </c>
      <c r="B237" s="63">
        <v>1</v>
      </c>
      <c r="C237" s="62" t="s">
        <v>500</v>
      </c>
      <c r="D237" s="65" t="s">
        <v>501</v>
      </c>
      <c r="E237" s="66">
        <v>14945.185157916847</v>
      </c>
      <c r="F237" s="66">
        <v>14.391814238717716</v>
      </c>
      <c r="G237" s="66">
        <v>13705.95941040033</v>
      </c>
      <c r="H237" s="66">
        <v>13720.351224639047</v>
      </c>
      <c r="I237" s="77" t="s">
        <v>91</v>
      </c>
      <c r="J237" s="68">
        <v>19075.010000000002</v>
      </c>
      <c r="K237" s="69">
        <v>13326</v>
      </c>
      <c r="L237" s="70"/>
      <c r="M237" s="71">
        <v>13326</v>
      </c>
      <c r="N237" s="72" t="s">
        <v>97</v>
      </c>
      <c r="O237" s="64" t="s">
        <v>502</v>
      </c>
    </row>
    <row r="238" spans="1:15" ht="20.25" customHeight="1">
      <c r="A238" s="63">
        <v>232</v>
      </c>
      <c r="B238" s="63">
        <v>2</v>
      </c>
      <c r="C238" s="62" t="s">
        <v>500</v>
      </c>
      <c r="D238" s="65" t="s">
        <v>503</v>
      </c>
      <c r="E238" s="66">
        <v>31973.492196526193</v>
      </c>
      <c r="F238" s="66">
        <v>71.384135054212152</v>
      </c>
      <c r="G238" s="66">
        <v>26782.169886932817</v>
      </c>
      <c r="H238" s="66">
        <v>26853.554021987031</v>
      </c>
      <c r="I238" s="78" t="s">
        <v>91</v>
      </c>
      <c r="J238" s="68">
        <v>22234.16</v>
      </c>
      <c r="K238" s="69">
        <v>21912</v>
      </c>
      <c r="L238" s="70"/>
      <c r="M238" s="71">
        <v>21912</v>
      </c>
      <c r="N238" s="72" t="s">
        <v>97</v>
      </c>
      <c r="O238" s="64" t="s">
        <v>504</v>
      </c>
    </row>
    <row r="239" spans="1:15" ht="20.25" customHeight="1">
      <c r="A239" s="63">
        <v>233</v>
      </c>
      <c r="B239" s="63">
        <v>4</v>
      </c>
      <c r="C239" s="62" t="s">
        <v>500</v>
      </c>
      <c r="D239" s="65" t="s">
        <v>505</v>
      </c>
      <c r="E239" s="66">
        <v>11008.169029435829</v>
      </c>
      <c r="F239" s="66">
        <v>2.9814567425900163</v>
      </c>
      <c r="G239" s="66">
        <v>10505.841976071577</v>
      </c>
      <c r="H239" s="66">
        <v>10508.823432814166</v>
      </c>
      <c r="I239" s="77" t="s">
        <v>91</v>
      </c>
      <c r="J239" s="68">
        <v>16036.97</v>
      </c>
      <c r="K239" s="69">
        <v>9847</v>
      </c>
      <c r="L239" s="70"/>
      <c r="M239" s="71">
        <v>9847</v>
      </c>
      <c r="N239" s="72" t="s">
        <v>97</v>
      </c>
      <c r="O239" s="64" t="s">
        <v>506</v>
      </c>
    </row>
    <row r="240" spans="1:15" ht="20.25" customHeight="1">
      <c r="A240" s="63">
        <v>234</v>
      </c>
      <c r="B240" s="63">
        <v>5</v>
      </c>
      <c r="C240" s="62" t="s">
        <v>500</v>
      </c>
      <c r="D240" s="65" t="s">
        <v>507</v>
      </c>
      <c r="E240" s="66">
        <v>18294.931443255406</v>
      </c>
      <c r="F240" s="66">
        <v>1.995856994516102</v>
      </c>
      <c r="G240" s="66">
        <v>15915.917273697278</v>
      </c>
      <c r="H240" s="66">
        <v>15917.913130691793</v>
      </c>
      <c r="I240" s="78" t="s">
        <v>91</v>
      </c>
      <c r="J240" s="68">
        <v>18491</v>
      </c>
      <c r="K240" s="69">
        <v>11914</v>
      </c>
      <c r="L240" s="70"/>
      <c r="M240" s="71">
        <v>11914</v>
      </c>
      <c r="N240" s="72" t="s">
        <v>116</v>
      </c>
      <c r="O240" s="64" t="s">
        <v>508</v>
      </c>
    </row>
    <row r="241" spans="1:15" ht="20.25" hidden="1" customHeight="1">
      <c r="A241" s="63">
        <v>235</v>
      </c>
      <c r="B241" s="63">
        <v>3</v>
      </c>
      <c r="C241" s="62" t="s">
        <v>500</v>
      </c>
      <c r="D241" s="65" t="s">
        <v>509</v>
      </c>
      <c r="E241" s="66">
        <v>51.301788382437621</v>
      </c>
      <c r="F241" s="66">
        <v>0</v>
      </c>
      <c r="G241" s="66">
        <v>25.873300774085031</v>
      </c>
      <c r="H241" s="66">
        <v>25.873300774085031</v>
      </c>
      <c r="I241" s="77" t="s">
        <v>123</v>
      </c>
      <c r="J241" s="68">
        <v>0</v>
      </c>
      <c r="K241" s="80"/>
      <c r="L241" s="81"/>
      <c r="M241" s="82">
        <v>0</v>
      </c>
      <c r="N241" s="72" t="s">
        <v>116</v>
      </c>
      <c r="O241" s="64" t="s">
        <v>243</v>
      </c>
    </row>
    <row r="242" spans="1:15" ht="20.25" customHeight="1">
      <c r="A242" s="63">
        <v>236</v>
      </c>
      <c r="B242" s="63">
        <v>1</v>
      </c>
      <c r="C242" s="62" t="s">
        <v>49</v>
      </c>
      <c r="D242" s="65" t="s">
        <v>510</v>
      </c>
      <c r="E242" s="66">
        <v>35383.552633982079</v>
      </c>
      <c r="F242" s="66">
        <v>0.32117228146362004</v>
      </c>
      <c r="G242" s="66">
        <v>34719.260989215647</v>
      </c>
      <c r="H242" s="66">
        <v>34719.582161497114</v>
      </c>
      <c r="I242" s="78" t="s">
        <v>91</v>
      </c>
      <c r="J242" s="68">
        <v>32967.14</v>
      </c>
      <c r="K242" s="69">
        <v>29659</v>
      </c>
      <c r="L242" s="70"/>
      <c r="M242" s="71">
        <v>29659</v>
      </c>
      <c r="N242" s="72" t="s">
        <v>97</v>
      </c>
      <c r="O242" s="64" t="s">
        <v>511</v>
      </c>
    </row>
    <row r="243" spans="1:15" ht="20.25" customHeight="1">
      <c r="A243" s="63">
        <v>237</v>
      </c>
      <c r="B243" s="63">
        <v>2</v>
      </c>
      <c r="C243" s="62" t="s">
        <v>49</v>
      </c>
      <c r="D243" s="65" t="s">
        <v>512</v>
      </c>
      <c r="E243" s="66">
        <v>68095.010552074964</v>
      </c>
      <c r="F243" s="66">
        <v>391.58129458781173</v>
      </c>
      <c r="G243" s="66">
        <v>62549.279159598947</v>
      </c>
      <c r="H243" s="66">
        <v>62940.860454186761</v>
      </c>
      <c r="I243" s="77" t="s">
        <v>91</v>
      </c>
      <c r="J243" s="68">
        <v>57830</v>
      </c>
      <c r="K243" s="69"/>
      <c r="L243" s="70" t="s">
        <v>394</v>
      </c>
      <c r="M243" s="71"/>
      <c r="N243" s="72" t="s">
        <v>116</v>
      </c>
      <c r="O243" s="64" t="s">
        <v>513</v>
      </c>
    </row>
    <row r="244" spans="1:15" ht="20.25" customHeight="1">
      <c r="A244" s="63">
        <v>238</v>
      </c>
      <c r="B244" s="63">
        <v>3</v>
      </c>
      <c r="C244" s="62" t="s">
        <v>49</v>
      </c>
      <c r="D244" s="65" t="s">
        <v>514</v>
      </c>
      <c r="E244" s="66">
        <v>32552.653635475821</v>
      </c>
      <c r="F244" s="66">
        <v>599.278467897582</v>
      </c>
      <c r="G244" s="66">
        <v>32748.73522129612</v>
      </c>
      <c r="H244" s="66">
        <v>33348.0136891937</v>
      </c>
      <c r="I244" s="78" t="s">
        <v>91</v>
      </c>
      <c r="J244" s="68">
        <v>37827.370000000003</v>
      </c>
      <c r="K244" s="69">
        <v>29172.258456122388</v>
      </c>
      <c r="L244" s="70"/>
      <c r="M244" s="71">
        <v>29172.258456122388</v>
      </c>
      <c r="N244" s="72" t="s">
        <v>97</v>
      </c>
      <c r="O244" s="64" t="s">
        <v>515</v>
      </c>
    </row>
    <row r="245" spans="1:15" ht="20.25" customHeight="1">
      <c r="A245" s="63">
        <v>239</v>
      </c>
      <c r="B245" s="63">
        <v>4</v>
      </c>
      <c r="C245" s="62" t="s">
        <v>49</v>
      </c>
      <c r="D245" s="65" t="s">
        <v>516</v>
      </c>
      <c r="E245" s="66">
        <v>83197.421457319535</v>
      </c>
      <c r="F245" s="66">
        <v>6636.5318749986545</v>
      </c>
      <c r="G245" s="66">
        <v>85023.484806823864</v>
      </c>
      <c r="H245" s="66">
        <v>91660.016681822512</v>
      </c>
      <c r="I245" s="77" t="s">
        <v>91</v>
      </c>
      <c r="J245" s="68">
        <v>43178</v>
      </c>
      <c r="K245" s="69">
        <v>41250.517203000003</v>
      </c>
      <c r="L245" s="75"/>
      <c r="M245" s="71">
        <v>41250.517203000003</v>
      </c>
      <c r="N245" s="72" t="s">
        <v>116</v>
      </c>
      <c r="O245" s="64" t="s">
        <v>304</v>
      </c>
    </row>
    <row r="246" spans="1:15" ht="20.25" customHeight="1">
      <c r="A246" s="63">
        <v>240</v>
      </c>
      <c r="B246" s="63">
        <v>5</v>
      </c>
      <c r="C246" s="62" t="s">
        <v>49</v>
      </c>
      <c r="D246" s="65" t="s">
        <v>517</v>
      </c>
      <c r="E246" s="66">
        <v>35758.413210953091</v>
      </c>
      <c r="F246" s="66">
        <v>77.287025781061345</v>
      </c>
      <c r="G246" s="66">
        <v>35015.634179416069</v>
      </c>
      <c r="H246" s="66">
        <v>35092.921205197134</v>
      </c>
      <c r="I246" s="78" t="s">
        <v>91</v>
      </c>
      <c r="J246" s="68">
        <v>44631</v>
      </c>
      <c r="K246" s="69">
        <v>27611.6850764392</v>
      </c>
      <c r="L246" s="75"/>
      <c r="M246" s="71">
        <v>27611.6850764392</v>
      </c>
      <c r="N246" s="72" t="s">
        <v>116</v>
      </c>
      <c r="O246" s="64" t="s">
        <v>518</v>
      </c>
    </row>
    <row r="247" spans="1:15" ht="20.25" customHeight="1">
      <c r="A247" s="63">
        <v>241</v>
      </c>
      <c r="B247" s="63">
        <v>6</v>
      </c>
      <c r="C247" s="62" t="s">
        <v>49</v>
      </c>
      <c r="D247" s="65" t="s">
        <v>519</v>
      </c>
      <c r="E247" s="66">
        <v>41212.394951748516</v>
      </c>
      <c r="F247" s="66">
        <v>206.42644543480867</v>
      </c>
      <c r="G247" s="66">
        <v>39265.666563365601</v>
      </c>
      <c r="H247" s="66">
        <v>39472.09300880041</v>
      </c>
      <c r="I247" s="77" t="s">
        <v>91</v>
      </c>
      <c r="J247" s="68">
        <v>24716</v>
      </c>
      <c r="K247" s="69">
        <v>17778</v>
      </c>
      <c r="L247" s="70"/>
      <c r="M247" s="71">
        <v>17778</v>
      </c>
      <c r="N247" s="72" t="s">
        <v>126</v>
      </c>
      <c r="O247" s="64" t="s">
        <v>520</v>
      </c>
    </row>
    <row r="248" spans="1:15" ht="20.25" customHeight="1">
      <c r="A248" s="63">
        <v>242</v>
      </c>
      <c r="B248" s="63">
        <v>7</v>
      </c>
      <c r="C248" s="62" t="s">
        <v>49</v>
      </c>
      <c r="D248" s="65" t="s">
        <v>521</v>
      </c>
      <c r="E248" s="66">
        <v>80122.58130171895</v>
      </c>
      <c r="F248" s="66">
        <v>607.58300307018317</v>
      </c>
      <c r="G248" s="66">
        <v>83240.451975742049</v>
      </c>
      <c r="H248" s="66">
        <v>83848.034978812226</v>
      </c>
      <c r="I248" s="78" t="s">
        <v>91</v>
      </c>
      <c r="J248" s="68">
        <v>86358.6</v>
      </c>
      <c r="K248" s="69">
        <v>75424.514041263261</v>
      </c>
      <c r="L248" s="70"/>
      <c r="M248" s="71">
        <v>75424.514041263261</v>
      </c>
      <c r="N248" s="72" t="s">
        <v>97</v>
      </c>
      <c r="O248" s="76" t="s">
        <v>522</v>
      </c>
    </row>
    <row r="249" spans="1:15" ht="20.25" customHeight="1">
      <c r="A249" s="63">
        <v>243</v>
      </c>
      <c r="B249" s="63">
        <v>8</v>
      </c>
      <c r="C249" s="62" t="s">
        <v>49</v>
      </c>
      <c r="D249" s="65" t="s">
        <v>523</v>
      </c>
      <c r="E249" s="66">
        <v>40668.700628725848</v>
      </c>
      <c r="F249" s="66">
        <v>350.20757852797448</v>
      </c>
      <c r="G249" s="66">
        <v>43704.146295550745</v>
      </c>
      <c r="H249" s="66">
        <v>44054.353874078719</v>
      </c>
      <c r="I249" s="77" t="s">
        <v>91</v>
      </c>
      <c r="J249" s="68">
        <v>38149</v>
      </c>
      <c r="K249" s="69">
        <v>31371.791795000001</v>
      </c>
      <c r="L249" s="70"/>
      <c r="M249" s="71">
        <v>31371.791795000001</v>
      </c>
      <c r="N249" s="72" t="s">
        <v>116</v>
      </c>
      <c r="O249" s="64" t="s">
        <v>470</v>
      </c>
    </row>
    <row r="250" spans="1:15" ht="20.25" customHeight="1">
      <c r="A250" s="63">
        <v>244</v>
      </c>
      <c r="B250" s="63">
        <v>9</v>
      </c>
      <c r="C250" s="62" t="s">
        <v>49</v>
      </c>
      <c r="D250" s="65" t="s">
        <v>524</v>
      </c>
      <c r="E250" s="66">
        <v>44331.552932707651</v>
      </c>
      <c r="F250" s="66">
        <v>114.01444249098935</v>
      </c>
      <c r="G250" s="66">
        <v>45612.835412101784</v>
      </c>
      <c r="H250" s="66">
        <v>45726.849854592772</v>
      </c>
      <c r="I250" s="78" t="s">
        <v>91</v>
      </c>
      <c r="J250" s="68">
        <v>44168</v>
      </c>
      <c r="K250" s="69">
        <v>33268</v>
      </c>
      <c r="L250" s="70"/>
      <c r="M250" s="71">
        <v>33268</v>
      </c>
      <c r="N250" s="72" t="s">
        <v>97</v>
      </c>
      <c r="O250" s="64" t="s">
        <v>525</v>
      </c>
    </row>
    <row r="251" spans="1:15" ht="20.25" customHeight="1">
      <c r="A251" s="63">
        <v>245</v>
      </c>
      <c r="B251" s="63">
        <v>10</v>
      </c>
      <c r="C251" s="62" t="s">
        <v>49</v>
      </c>
      <c r="D251" s="65" t="s">
        <v>526</v>
      </c>
      <c r="E251" s="66">
        <v>1613.0549755605523</v>
      </c>
      <c r="F251" s="66">
        <v>0.25315296265192</v>
      </c>
      <c r="G251" s="66">
        <v>612.59597244372435</v>
      </c>
      <c r="H251" s="66">
        <v>612.84912540637629</v>
      </c>
      <c r="I251" s="77" t="s">
        <v>104</v>
      </c>
      <c r="J251" s="68">
        <v>1252</v>
      </c>
      <c r="K251" s="69"/>
      <c r="L251" s="79">
        <v>1252</v>
      </c>
      <c r="M251" s="71">
        <v>1252</v>
      </c>
      <c r="N251" s="72" t="s">
        <v>126</v>
      </c>
      <c r="O251" s="64" t="s">
        <v>527</v>
      </c>
    </row>
    <row r="252" spans="1:15" ht="20.25" customHeight="1">
      <c r="A252" s="63">
        <v>246</v>
      </c>
      <c r="B252" s="63">
        <v>11</v>
      </c>
      <c r="C252" s="62" t="s">
        <v>49</v>
      </c>
      <c r="D252" s="65" t="s">
        <v>528</v>
      </c>
      <c r="E252" s="66">
        <v>936.54186489132246</v>
      </c>
      <c r="F252" s="66">
        <v>0</v>
      </c>
      <c r="G252" s="66">
        <v>982.34364886705055</v>
      </c>
      <c r="H252" s="66">
        <v>982.34364886705055</v>
      </c>
      <c r="I252" s="78" t="s">
        <v>104</v>
      </c>
      <c r="J252" s="68">
        <v>677</v>
      </c>
      <c r="K252" s="69"/>
      <c r="L252" s="79">
        <v>677</v>
      </c>
      <c r="M252" s="71">
        <v>677</v>
      </c>
      <c r="N252" s="72" t="s">
        <v>116</v>
      </c>
      <c r="O252" s="64" t="s">
        <v>405</v>
      </c>
    </row>
    <row r="253" spans="1:15" ht="20.25" customHeight="1">
      <c r="A253" s="63">
        <v>247</v>
      </c>
      <c r="B253" s="63">
        <v>12</v>
      </c>
      <c r="C253" s="62" t="s">
        <v>49</v>
      </c>
      <c r="D253" s="65" t="s">
        <v>529</v>
      </c>
      <c r="E253" s="66">
        <v>1987.8947693763359</v>
      </c>
      <c r="F253" s="66">
        <v>2.25501616412E-4</v>
      </c>
      <c r="G253" s="66">
        <v>992.1167996304539</v>
      </c>
      <c r="H253" s="66">
        <v>992.11702513207035</v>
      </c>
      <c r="I253" s="77" t="s">
        <v>104</v>
      </c>
      <c r="J253" s="68">
        <v>500</v>
      </c>
      <c r="K253" s="69"/>
      <c r="L253" s="79">
        <v>500</v>
      </c>
      <c r="M253" s="71">
        <v>500</v>
      </c>
      <c r="N253" s="72" t="s">
        <v>116</v>
      </c>
      <c r="O253" s="64" t="s">
        <v>315</v>
      </c>
    </row>
    <row r="254" spans="1:15" ht="20.25" customHeight="1">
      <c r="A254" s="63">
        <v>248</v>
      </c>
      <c r="B254" s="63">
        <v>13</v>
      </c>
      <c r="C254" s="62" t="s">
        <v>49</v>
      </c>
      <c r="D254" s="65" t="s">
        <v>530</v>
      </c>
      <c r="E254" s="66">
        <v>1062.1723245994547</v>
      </c>
      <c r="F254" s="66">
        <v>0</v>
      </c>
      <c r="G254" s="66">
        <v>872.24320492281117</v>
      </c>
      <c r="H254" s="66">
        <v>872.24320492281117</v>
      </c>
      <c r="I254" s="78" t="s">
        <v>104</v>
      </c>
      <c r="J254" s="68">
        <v>479</v>
      </c>
      <c r="K254" s="69"/>
      <c r="L254" s="79">
        <v>479</v>
      </c>
      <c r="M254" s="71">
        <v>479</v>
      </c>
      <c r="N254" s="72" t="s">
        <v>116</v>
      </c>
      <c r="O254" s="64" t="s">
        <v>227</v>
      </c>
    </row>
    <row r="255" spans="1:15" ht="20.25" customHeight="1">
      <c r="A255" s="63">
        <v>249</v>
      </c>
      <c r="B255" s="63">
        <v>14</v>
      </c>
      <c r="C255" s="62" t="s">
        <v>49</v>
      </c>
      <c r="D255" s="65" t="s">
        <v>531</v>
      </c>
      <c r="E255" s="66">
        <v>1215.959613843077</v>
      </c>
      <c r="F255" s="66">
        <v>8.5887220123907007</v>
      </c>
      <c r="G255" s="66">
        <v>1043.8636135361544</v>
      </c>
      <c r="H255" s="66">
        <v>1052.4523355485451</v>
      </c>
      <c r="I255" s="77" t="s">
        <v>104</v>
      </c>
      <c r="J255" s="68">
        <v>18.510000000000002</v>
      </c>
      <c r="K255" s="69"/>
      <c r="L255" s="79">
        <v>18.510000000000002</v>
      </c>
      <c r="M255" s="71">
        <v>18.510000000000002</v>
      </c>
      <c r="N255" s="72" t="s">
        <v>116</v>
      </c>
      <c r="O255" s="64" t="s">
        <v>422</v>
      </c>
    </row>
    <row r="256" spans="1:15" ht="20.25" customHeight="1">
      <c r="A256" s="63">
        <v>250</v>
      </c>
      <c r="B256" s="63">
        <v>15</v>
      </c>
      <c r="C256" s="62" t="s">
        <v>49</v>
      </c>
      <c r="D256" s="65" t="s">
        <v>532</v>
      </c>
      <c r="E256" s="66">
        <v>439.03397320838656</v>
      </c>
      <c r="F256" s="66">
        <v>0</v>
      </c>
      <c r="G256" s="66">
        <v>368.93698279782689</v>
      </c>
      <c r="H256" s="66">
        <v>368.93698279782689</v>
      </c>
      <c r="I256" s="78" t="s">
        <v>104</v>
      </c>
      <c r="J256" s="68">
        <v>39</v>
      </c>
      <c r="K256" s="69"/>
      <c r="L256" s="79">
        <v>39</v>
      </c>
      <c r="M256" s="71">
        <v>39</v>
      </c>
      <c r="N256" s="72" t="s">
        <v>116</v>
      </c>
      <c r="O256" s="64" t="s">
        <v>267</v>
      </c>
    </row>
    <row r="257" spans="1:15" ht="20.25" customHeight="1">
      <c r="A257" s="63">
        <v>251</v>
      </c>
      <c r="B257" s="63">
        <v>16</v>
      </c>
      <c r="C257" s="62" t="s">
        <v>49</v>
      </c>
      <c r="D257" s="65" t="s">
        <v>533</v>
      </c>
      <c r="E257" s="66">
        <v>888.4012934805487</v>
      </c>
      <c r="F257" s="66">
        <v>0</v>
      </c>
      <c r="G257" s="66">
        <v>804.92909344262023</v>
      </c>
      <c r="H257" s="66">
        <v>804.92909344262023</v>
      </c>
      <c r="I257" s="77" t="s">
        <v>104</v>
      </c>
      <c r="J257" s="68">
        <v>27.52</v>
      </c>
      <c r="K257" s="69"/>
      <c r="L257" s="79">
        <v>27.52</v>
      </c>
      <c r="M257" s="71">
        <v>27.52</v>
      </c>
      <c r="N257" s="72" t="s">
        <v>116</v>
      </c>
      <c r="O257" s="64" t="s">
        <v>159</v>
      </c>
    </row>
    <row r="258" spans="1:15" ht="20.25" customHeight="1">
      <c r="A258" s="63">
        <v>252</v>
      </c>
      <c r="B258" s="63">
        <v>17</v>
      </c>
      <c r="C258" s="62" t="s">
        <v>49</v>
      </c>
      <c r="D258" s="65" t="s">
        <v>534</v>
      </c>
      <c r="E258" s="66">
        <v>2231.6048976267548</v>
      </c>
      <c r="F258" s="66">
        <v>5.7896021180080002</v>
      </c>
      <c r="G258" s="66">
        <v>2329.8322023719315</v>
      </c>
      <c r="H258" s="66">
        <v>2335.6218044899397</v>
      </c>
      <c r="I258" s="78" t="s">
        <v>91</v>
      </c>
      <c r="J258" s="68">
        <v>1099</v>
      </c>
      <c r="K258" s="69">
        <v>1058</v>
      </c>
      <c r="L258" s="70"/>
      <c r="M258" s="71">
        <v>1058</v>
      </c>
      <c r="N258" s="72" t="s">
        <v>116</v>
      </c>
      <c r="O258" s="64" t="s">
        <v>262</v>
      </c>
    </row>
    <row r="259" spans="1:15" ht="20.25" hidden="1" customHeight="1">
      <c r="A259" s="63">
        <v>253</v>
      </c>
      <c r="B259" s="63">
        <v>18</v>
      </c>
      <c r="C259" s="62" t="s">
        <v>49</v>
      </c>
      <c r="D259" s="65" t="s">
        <v>535</v>
      </c>
      <c r="E259" s="66">
        <v>2226.0435262682659</v>
      </c>
      <c r="F259" s="66">
        <v>25.862036282171324</v>
      </c>
      <c r="G259" s="66">
        <v>1183.4650656355252</v>
      </c>
      <c r="H259" s="66">
        <v>1209.3271019176966</v>
      </c>
      <c r="I259" s="77" t="s">
        <v>123</v>
      </c>
      <c r="J259" s="68">
        <v>0</v>
      </c>
      <c r="K259" s="80"/>
      <c r="L259" s="81"/>
      <c r="M259" s="82">
        <v>0</v>
      </c>
      <c r="N259" s="72" t="s">
        <v>116</v>
      </c>
      <c r="O259" s="64" t="s">
        <v>536</v>
      </c>
    </row>
    <row r="260" spans="1:15" ht="20.25" customHeight="1">
      <c r="A260" s="63">
        <v>254</v>
      </c>
      <c r="B260" s="63">
        <v>19</v>
      </c>
      <c r="C260" s="62" t="s">
        <v>49</v>
      </c>
      <c r="D260" s="65" t="s">
        <v>537</v>
      </c>
      <c r="E260" s="66">
        <v>99386.965617747657</v>
      </c>
      <c r="F260" s="66">
        <v>1122.3112980630456</v>
      </c>
      <c r="G260" s="66">
        <v>94622.385002771931</v>
      </c>
      <c r="H260" s="66">
        <v>95744.69630083497</v>
      </c>
      <c r="I260" s="78" t="s">
        <v>91</v>
      </c>
      <c r="J260" s="68">
        <v>53384</v>
      </c>
      <c r="K260" s="69">
        <v>49248.210590000002</v>
      </c>
      <c r="L260" s="70"/>
      <c r="M260" s="71">
        <v>49248.210590000002</v>
      </c>
      <c r="N260" s="72" t="s">
        <v>116</v>
      </c>
      <c r="O260" s="64" t="s">
        <v>265</v>
      </c>
    </row>
    <row r="261" spans="1:15" ht="20.25" customHeight="1">
      <c r="A261" s="63">
        <v>255</v>
      </c>
      <c r="B261" s="63">
        <v>20</v>
      </c>
      <c r="C261" s="62" t="s">
        <v>49</v>
      </c>
      <c r="D261" s="65" t="s">
        <v>538</v>
      </c>
      <c r="E261" s="66">
        <v>34597.324484821533</v>
      </c>
      <c r="F261" s="66">
        <v>677.94606914274755</v>
      </c>
      <c r="G261" s="66">
        <v>33373.819816343719</v>
      </c>
      <c r="H261" s="66">
        <v>34051.765885486464</v>
      </c>
      <c r="I261" s="77" t="s">
        <v>91</v>
      </c>
      <c r="J261" s="68">
        <v>32331.83</v>
      </c>
      <c r="K261" s="69">
        <v>18448</v>
      </c>
      <c r="L261" s="70"/>
      <c r="M261" s="71">
        <v>18448</v>
      </c>
      <c r="N261" s="72" t="s">
        <v>126</v>
      </c>
      <c r="O261" s="64" t="s">
        <v>412</v>
      </c>
    </row>
    <row r="262" spans="1:15" ht="20.25" customHeight="1">
      <c r="A262" s="63">
        <v>256</v>
      </c>
      <c r="B262" s="63">
        <v>21</v>
      </c>
      <c r="C262" s="62" t="s">
        <v>49</v>
      </c>
      <c r="D262" s="65" t="s">
        <v>539</v>
      </c>
      <c r="E262" s="66">
        <v>31542.070511842423</v>
      </c>
      <c r="F262" s="66">
        <v>693.16205833907247</v>
      </c>
      <c r="G262" s="66">
        <v>31725.050734237153</v>
      </c>
      <c r="H262" s="66">
        <v>32418.212792576225</v>
      </c>
      <c r="I262" s="78" t="s">
        <v>91</v>
      </c>
      <c r="J262" s="68">
        <v>23089.659300995449</v>
      </c>
      <c r="K262" s="69">
        <v>20121</v>
      </c>
      <c r="L262" s="70"/>
      <c r="M262" s="71">
        <v>20121</v>
      </c>
      <c r="N262" s="72" t="s">
        <v>92</v>
      </c>
      <c r="O262" s="64" t="s">
        <v>540</v>
      </c>
    </row>
    <row r="263" spans="1:15" ht="20.25" customHeight="1">
      <c r="A263" s="63">
        <v>257</v>
      </c>
      <c r="B263" s="63">
        <v>22</v>
      </c>
      <c r="C263" s="62" t="s">
        <v>49</v>
      </c>
      <c r="D263" s="65" t="s">
        <v>541</v>
      </c>
      <c r="E263" s="66">
        <v>24742.728315061559</v>
      </c>
      <c r="F263" s="66">
        <v>1.3222119603499999E-4</v>
      </c>
      <c r="G263" s="66">
        <v>26490.660084877512</v>
      </c>
      <c r="H263" s="66">
        <v>26490.66021709871</v>
      </c>
      <c r="I263" s="77" t="s">
        <v>104</v>
      </c>
      <c r="J263" s="68">
        <v>19084</v>
      </c>
      <c r="K263" s="69"/>
      <c r="L263" s="79">
        <v>19084</v>
      </c>
      <c r="M263" s="71">
        <v>19084</v>
      </c>
      <c r="N263" s="72" t="s">
        <v>126</v>
      </c>
      <c r="O263" s="64" t="s">
        <v>542</v>
      </c>
    </row>
    <row r="264" spans="1:15" ht="20.25" customHeight="1">
      <c r="A264" s="63">
        <v>258</v>
      </c>
      <c r="B264" s="63">
        <v>23</v>
      </c>
      <c r="C264" s="62" t="s">
        <v>49</v>
      </c>
      <c r="D264" s="65" t="s">
        <v>543</v>
      </c>
      <c r="E264" s="66">
        <v>44374.849990227092</v>
      </c>
      <c r="F264" s="66">
        <v>87.505756689567349</v>
      </c>
      <c r="G264" s="66">
        <v>37528.188329087796</v>
      </c>
      <c r="H264" s="66">
        <v>37615.694085777366</v>
      </c>
      <c r="I264" s="74" t="s">
        <v>104</v>
      </c>
      <c r="J264" s="68">
        <v>45888</v>
      </c>
      <c r="K264" s="69"/>
      <c r="L264" s="79">
        <v>44374.849990227092</v>
      </c>
      <c r="M264" s="71">
        <v>44374.849990227092</v>
      </c>
      <c r="N264" s="72" t="s">
        <v>116</v>
      </c>
      <c r="O264" s="64" t="s">
        <v>544</v>
      </c>
    </row>
    <row r="265" spans="1:15" ht="20.25" customHeight="1">
      <c r="A265" s="63">
        <v>259</v>
      </c>
      <c r="B265" s="63">
        <v>24</v>
      </c>
      <c r="C265" s="62" t="s">
        <v>49</v>
      </c>
      <c r="D265" s="65" t="s">
        <v>545</v>
      </c>
      <c r="E265" s="66">
        <v>37246.608948481429</v>
      </c>
      <c r="F265" s="66">
        <v>179.14121657284872</v>
      </c>
      <c r="G265" s="66">
        <v>37078.329256576384</v>
      </c>
      <c r="H265" s="66">
        <v>37257.470473149231</v>
      </c>
      <c r="I265" s="67" t="s">
        <v>91</v>
      </c>
      <c r="J265" s="68">
        <v>27535</v>
      </c>
      <c r="K265" s="69">
        <v>14771.711520000001</v>
      </c>
      <c r="L265" s="75"/>
      <c r="M265" s="71">
        <v>14771.711520000001</v>
      </c>
      <c r="N265" s="72" t="s">
        <v>116</v>
      </c>
      <c r="O265" s="64" t="s">
        <v>546</v>
      </c>
    </row>
    <row r="266" spans="1:15" ht="20.25" customHeight="1">
      <c r="A266" s="63">
        <v>260</v>
      </c>
      <c r="B266" s="63">
        <v>25</v>
      </c>
      <c r="C266" s="62" t="s">
        <v>49</v>
      </c>
      <c r="D266" s="65" t="s">
        <v>547</v>
      </c>
      <c r="E266" s="66">
        <v>46173.978253620262</v>
      </c>
      <c r="F266" s="66">
        <v>870.73903037912203</v>
      </c>
      <c r="G266" s="66">
        <v>45226.986239598366</v>
      </c>
      <c r="H266" s="66">
        <v>46097.725269977491</v>
      </c>
      <c r="I266" s="74" t="s">
        <v>91</v>
      </c>
      <c r="J266" s="68">
        <v>27542</v>
      </c>
      <c r="K266" s="69">
        <v>27536</v>
      </c>
      <c r="L266" s="70"/>
      <c r="M266" s="71">
        <v>27536</v>
      </c>
      <c r="N266" s="72" t="s">
        <v>116</v>
      </c>
      <c r="O266" s="64" t="s">
        <v>243</v>
      </c>
    </row>
    <row r="267" spans="1:15" ht="20.25" customHeight="1">
      <c r="A267" s="63">
        <v>261</v>
      </c>
      <c r="B267" s="63">
        <v>26</v>
      </c>
      <c r="C267" s="62" t="s">
        <v>49</v>
      </c>
      <c r="D267" s="65" t="s">
        <v>548</v>
      </c>
      <c r="E267" s="66">
        <v>50104.534118295516</v>
      </c>
      <c r="F267" s="66">
        <v>750.95846371800519</v>
      </c>
      <c r="G267" s="66">
        <v>48871.524451626618</v>
      </c>
      <c r="H267" s="66">
        <v>49622.482915344626</v>
      </c>
      <c r="I267" s="67" t="s">
        <v>104</v>
      </c>
      <c r="J267" s="68">
        <v>41523</v>
      </c>
      <c r="K267" s="69"/>
      <c r="L267" s="79">
        <v>41523</v>
      </c>
      <c r="M267" s="71">
        <v>41523</v>
      </c>
      <c r="N267" s="72" t="s">
        <v>126</v>
      </c>
      <c r="O267" s="64" t="s">
        <v>323</v>
      </c>
    </row>
    <row r="268" spans="1:15" ht="20.25" customHeight="1">
      <c r="A268" s="63">
        <v>262</v>
      </c>
      <c r="B268" s="63">
        <v>27</v>
      </c>
      <c r="C268" s="62" t="s">
        <v>49</v>
      </c>
      <c r="D268" s="65" t="s">
        <v>549</v>
      </c>
      <c r="E268" s="66">
        <v>11798.427477664341</v>
      </c>
      <c r="F268" s="66">
        <v>58.012334741060847</v>
      </c>
      <c r="G268" s="66">
        <v>14209.787377128554</v>
      </c>
      <c r="H268" s="66">
        <v>14267.799711869615</v>
      </c>
      <c r="I268" s="74" t="s">
        <v>91</v>
      </c>
      <c r="J268" s="68">
        <v>11015.48</v>
      </c>
      <c r="K268" s="69">
        <v>8773</v>
      </c>
      <c r="L268" s="70"/>
      <c r="M268" s="71">
        <v>8773</v>
      </c>
      <c r="N268" s="72" t="s">
        <v>97</v>
      </c>
      <c r="O268" s="64" t="s">
        <v>550</v>
      </c>
    </row>
    <row r="269" spans="1:15" ht="20.25" customHeight="1">
      <c r="A269" s="63">
        <v>263</v>
      </c>
      <c r="B269" s="63">
        <v>28</v>
      </c>
      <c r="C269" s="62" t="s">
        <v>49</v>
      </c>
      <c r="D269" s="65" t="s">
        <v>551</v>
      </c>
      <c r="E269" s="66">
        <v>24473.447935954417</v>
      </c>
      <c r="F269" s="66">
        <v>0.15064482458680001</v>
      </c>
      <c r="G269" s="66">
        <v>25229.537014093155</v>
      </c>
      <c r="H269" s="66">
        <v>25229.687658917741</v>
      </c>
      <c r="I269" s="67" t="s">
        <v>104</v>
      </c>
      <c r="J269" s="68">
        <v>24046</v>
      </c>
      <c r="K269" s="69"/>
      <c r="L269" s="79">
        <v>24046</v>
      </c>
      <c r="M269" s="71">
        <v>24046</v>
      </c>
      <c r="N269" s="72" t="s">
        <v>116</v>
      </c>
      <c r="O269" s="64" t="s">
        <v>552</v>
      </c>
    </row>
    <row r="270" spans="1:15" ht="20.25" customHeight="1">
      <c r="A270" s="63">
        <v>264</v>
      </c>
      <c r="B270" s="63">
        <v>29</v>
      </c>
      <c r="C270" s="62" t="s">
        <v>49</v>
      </c>
      <c r="D270" s="65" t="s">
        <v>553</v>
      </c>
      <c r="E270" s="66">
        <v>35539.374430647753</v>
      </c>
      <c r="F270" s="66">
        <v>145.09839482146933</v>
      </c>
      <c r="G270" s="66">
        <v>31998.821880470306</v>
      </c>
      <c r="H270" s="66">
        <v>32143.920275291777</v>
      </c>
      <c r="I270" s="74" t="s">
        <v>91</v>
      </c>
      <c r="J270" s="68">
        <v>34117.71</v>
      </c>
      <c r="K270" s="69">
        <v>25120.926008199465</v>
      </c>
      <c r="L270" s="70"/>
      <c r="M270" s="71">
        <v>25120.926008199465</v>
      </c>
      <c r="N270" s="72" t="s">
        <v>97</v>
      </c>
      <c r="O270" s="64" t="s">
        <v>554</v>
      </c>
    </row>
    <row r="271" spans="1:15" ht="20.25" customHeight="1">
      <c r="A271" s="63">
        <v>265</v>
      </c>
      <c r="B271" s="63">
        <v>30</v>
      </c>
      <c r="C271" s="62" t="s">
        <v>49</v>
      </c>
      <c r="D271" s="65" t="s">
        <v>555</v>
      </c>
      <c r="E271" s="66">
        <v>34937.764874785207</v>
      </c>
      <c r="F271" s="66">
        <v>235.20576697715762</v>
      </c>
      <c r="G271" s="66">
        <v>35506.018906526107</v>
      </c>
      <c r="H271" s="66">
        <v>35741.224673503268</v>
      </c>
      <c r="I271" s="67" t="s">
        <v>104</v>
      </c>
      <c r="J271" s="68">
        <v>32947</v>
      </c>
      <c r="K271" s="69"/>
      <c r="L271" s="79">
        <v>32947</v>
      </c>
      <c r="M271" s="71">
        <v>32947</v>
      </c>
      <c r="N271" s="72" t="s">
        <v>116</v>
      </c>
      <c r="O271" s="64" t="s">
        <v>544</v>
      </c>
    </row>
    <row r="272" spans="1:15" ht="20.25" customHeight="1">
      <c r="A272" s="63">
        <v>266</v>
      </c>
      <c r="B272" s="63">
        <v>31</v>
      </c>
      <c r="C272" s="62" t="s">
        <v>49</v>
      </c>
      <c r="D272" s="65" t="s">
        <v>556</v>
      </c>
      <c r="E272" s="66">
        <v>39771.257796014928</v>
      </c>
      <c r="F272" s="66">
        <v>573.1223358559804</v>
      </c>
      <c r="G272" s="66">
        <v>38528.727675829745</v>
      </c>
      <c r="H272" s="66">
        <v>39101.850011685725</v>
      </c>
      <c r="I272" s="74" t="s">
        <v>91</v>
      </c>
      <c r="J272" s="68">
        <v>38692</v>
      </c>
      <c r="K272" s="69">
        <v>23975</v>
      </c>
      <c r="L272" s="70"/>
      <c r="M272" s="71">
        <v>23975</v>
      </c>
      <c r="N272" s="72" t="s">
        <v>97</v>
      </c>
      <c r="O272" s="64" t="s">
        <v>557</v>
      </c>
    </row>
    <row r="273" spans="1:15" ht="20.25" customHeight="1">
      <c r="A273" s="63">
        <v>267</v>
      </c>
      <c r="B273" s="63">
        <v>32</v>
      </c>
      <c r="C273" s="62" t="s">
        <v>49</v>
      </c>
      <c r="D273" s="65" t="s">
        <v>558</v>
      </c>
      <c r="E273" s="66">
        <v>30847.964790125472</v>
      </c>
      <c r="F273" s="66">
        <v>2.7172016686560004E-2</v>
      </c>
      <c r="G273" s="66">
        <v>31861.910633455052</v>
      </c>
      <c r="H273" s="66">
        <v>31861.937805471738</v>
      </c>
      <c r="I273" s="67" t="s">
        <v>91</v>
      </c>
      <c r="J273" s="68">
        <v>31840.04</v>
      </c>
      <c r="K273" s="69">
        <v>25243.680618838003</v>
      </c>
      <c r="L273" s="70"/>
      <c r="M273" s="71">
        <v>25243.680618838003</v>
      </c>
      <c r="N273" s="72" t="s">
        <v>97</v>
      </c>
      <c r="O273" s="64" t="s">
        <v>559</v>
      </c>
    </row>
    <row r="274" spans="1:15" ht="20.25" customHeight="1">
      <c r="A274" s="63">
        <v>268</v>
      </c>
      <c r="B274" s="63">
        <v>33</v>
      </c>
      <c r="C274" s="62" t="s">
        <v>49</v>
      </c>
      <c r="D274" s="65" t="s">
        <v>560</v>
      </c>
      <c r="E274" s="66">
        <v>23093.014263077734</v>
      </c>
      <c r="F274" s="66">
        <v>1043.9751794485637</v>
      </c>
      <c r="G274" s="66">
        <v>19240.432222325846</v>
      </c>
      <c r="H274" s="66">
        <v>20284.40740177441</v>
      </c>
      <c r="I274" s="74" t="s">
        <v>91</v>
      </c>
      <c r="J274" s="68">
        <v>6750</v>
      </c>
      <c r="K274" s="69"/>
      <c r="L274" s="70" t="s">
        <v>394</v>
      </c>
      <c r="M274" s="71"/>
      <c r="N274" s="72" t="s">
        <v>116</v>
      </c>
      <c r="O274" s="64" t="s">
        <v>420</v>
      </c>
    </row>
    <row r="275" spans="1:15" ht="20.25" customHeight="1">
      <c r="A275" s="63">
        <v>269</v>
      </c>
      <c r="B275" s="63">
        <v>34</v>
      </c>
      <c r="C275" s="62" t="s">
        <v>49</v>
      </c>
      <c r="D275" s="65" t="s">
        <v>561</v>
      </c>
      <c r="E275" s="66">
        <v>32815.397656606321</v>
      </c>
      <c r="F275" s="66">
        <v>1082.8845703451445</v>
      </c>
      <c r="G275" s="66">
        <v>36588.157603189706</v>
      </c>
      <c r="H275" s="66">
        <v>37671.04217353485</v>
      </c>
      <c r="I275" s="67" t="s">
        <v>91</v>
      </c>
      <c r="J275" s="68">
        <v>33880.639999999999</v>
      </c>
      <c r="K275" s="69">
        <v>29568.20032674391</v>
      </c>
      <c r="L275" s="70"/>
      <c r="M275" s="71">
        <v>29568.20032674391</v>
      </c>
      <c r="N275" s="72" t="s">
        <v>97</v>
      </c>
      <c r="O275" s="64" t="s">
        <v>562</v>
      </c>
    </row>
    <row r="276" spans="1:15" ht="20.25" customHeight="1">
      <c r="A276" s="63">
        <v>270</v>
      </c>
      <c r="B276" s="63">
        <v>35</v>
      </c>
      <c r="C276" s="62" t="s">
        <v>49</v>
      </c>
      <c r="D276" s="65" t="s">
        <v>563</v>
      </c>
      <c r="E276" s="66">
        <v>35543.437153677616</v>
      </c>
      <c r="F276" s="66">
        <v>0.14344541747605399</v>
      </c>
      <c r="G276" s="66">
        <v>28602.995485716972</v>
      </c>
      <c r="H276" s="66">
        <v>28603.13893113445</v>
      </c>
      <c r="I276" s="74" t="s">
        <v>91</v>
      </c>
      <c r="J276" s="68">
        <v>31070.74</v>
      </c>
      <c r="K276" s="69">
        <v>26811</v>
      </c>
      <c r="L276" s="70"/>
      <c r="M276" s="71">
        <v>26811</v>
      </c>
      <c r="N276" s="72" t="s">
        <v>97</v>
      </c>
      <c r="O276" s="64" t="s">
        <v>564</v>
      </c>
    </row>
    <row r="277" spans="1:15" ht="20.25" customHeight="1">
      <c r="A277" s="63">
        <v>271</v>
      </c>
      <c r="B277" s="63">
        <v>36</v>
      </c>
      <c r="C277" s="62" t="s">
        <v>49</v>
      </c>
      <c r="D277" s="65" t="s">
        <v>565</v>
      </c>
      <c r="E277" s="66">
        <v>12048.140924986597</v>
      </c>
      <c r="F277" s="66">
        <v>431.84302450372257</v>
      </c>
      <c r="G277" s="66">
        <v>11802.587815531484</v>
      </c>
      <c r="H277" s="66">
        <v>12234.430840035207</v>
      </c>
      <c r="I277" s="67" t="s">
        <v>91</v>
      </c>
      <c r="J277" s="68">
        <v>12785</v>
      </c>
      <c r="K277" s="69">
        <v>7352</v>
      </c>
      <c r="L277" s="70"/>
      <c r="M277" s="71">
        <v>7352</v>
      </c>
      <c r="N277" s="72" t="s">
        <v>92</v>
      </c>
      <c r="O277" s="64" t="s">
        <v>566</v>
      </c>
    </row>
    <row r="278" spans="1:15" ht="20.25" customHeight="1">
      <c r="A278" s="63">
        <v>272</v>
      </c>
      <c r="B278" s="63">
        <v>37</v>
      </c>
      <c r="C278" s="62" t="s">
        <v>49</v>
      </c>
      <c r="D278" s="65" t="s">
        <v>567</v>
      </c>
      <c r="E278" s="66">
        <v>66534.047483618036</v>
      </c>
      <c r="F278" s="66">
        <v>1735.1319153481302</v>
      </c>
      <c r="G278" s="66">
        <v>65352.842750203905</v>
      </c>
      <c r="H278" s="66">
        <v>67087.974665552028</v>
      </c>
      <c r="I278" s="74" t="s">
        <v>91</v>
      </c>
      <c r="J278" s="68">
        <v>75610</v>
      </c>
      <c r="K278" s="69">
        <v>53969</v>
      </c>
      <c r="L278" s="70"/>
      <c r="M278" s="71">
        <v>53969</v>
      </c>
      <c r="N278" s="72" t="s">
        <v>116</v>
      </c>
      <c r="O278" s="64" t="s">
        <v>568</v>
      </c>
    </row>
    <row r="279" spans="1:15" ht="20.25" customHeight="1">
      <c r="A279" s="63">
        <v>273</v>
      </c>
      <c r="B279" s="63">
        <v>38</v>
      </c>
      <c r="C279" s="62" t="s">
        <v>49</v>
      </c>
      <c r="D279" s="65" t="s">
        <v>569</v>
      </c>
      <c r="E279" s="66">
        <v>25414.793583192779</v>
      </c>
      <c r="F279" s="66">
        <v>17.604302865471173</v>
      </c>
      <c r="G279" s="66">
        <v>24340.110406837102</v>
      </c>
      <c r="H279" s="66">
        <v>24357.714709702574</v>
      </c>
      <c r="I279" s="67" t="s">
        <v>91</v>
      </c>
      <c r="J279" s="68">
        <v>16926.91</v>
      </c>
      <c r="K279" s="69">
        <v>16936</v>
      </c>
      <c r="L279" s="70"/>
      <c r="M279" s="71">
        <v>16936</v>
      </c>
      <c r="N279" s="72" t="s">
        <v>97</v>
      </c>
      <c r="O279" s="64" t="s">
        <v>570</v>
      </c>
    </row>
    <row r="280" spans="1:15" ht="20.25" customHeight="1">
      <c r="A280" s="63">
        <v>274</v>
      </c>
      <c r="B280" s="92">
        <v>1</v>
      </c>
      <c r="C280" s="62" t="s">
        <v>50</v>
      </c>
      <c r="D280" s="65" t="s">
        <v>571</v>
      </c>
      <c r="E280" s="66">
        <v>9072.4752857066742</v>
      </c>
      <c r="F280" s="66">
        <v>0.55520516286330002</v>
      </c>
      <c r="G280" s="66">
        <v>8300.5036531515561</v>
      </c>
      <c r="H280" s="66">
        <v>8301.0588583144199</v>
      </c>
      <c r="I280" s="74" t="s">
        <v>91</v>
      </c>
      <c r="J280" s="68">
        <v>6674.85</v>
      </c>
      <c r="K280" s="69">
        <v>6632.783150440926</v>
      </c>
      <c r="L280" s="70"/>
      <c r="M280" s="71">
        <v>6632.783150440926</v>
      </c>
      <c r="N280" s="72" t="s">
        <v>97</v>
      </c>
      <c r="O280" s="64" t="s">
        <v>572</v>
      </c>
    </row>
    <row r="281" spans="1:15" ht="20.25" customHeight="1">
      <c r="A281" s="63">
        <v>275</v>
      </c>
      <c r="B281" s="92">
        <v>2</v>
      </c>
      <c r="C281" s="62" t="s">
        <v>50</v>
      </c>
      <c r="D281" s="65" t="s">
        <v>573</v>
      </c>
      <c r="E281" s="66">
        <v>2210.4473394580027</v>
      </c>
      <c r="F281" s="66">
        <v>0</v>
      </c>
      <c r="G281" s="66">
        <v>1966.6203140338473</v>
      </c>
      <c r="H281" s="66">
        <v>1966.6203140338473</v>
      </c>
      <c r="I281" s="67" t="s">
        <v>104</v>
      </c>
      <c r="J281" s="68">
        <v>1732</v>
      </c>
      <c r="K281" s="69"/>
      <c r="L281" s="79">
        <v>1732</v>
      </c>
      <c r="M281" s="71">
        <v>1732</v>
      </c>
      <c r="N281" s="72" t="s">
        <v>116</v>
      </c>
      <c r="O281" s="64" t="s">
        <v>183</v>
      </c>
    </row>
    <row r="282" spans="1:15" ht="20.25" customHeight="1">
      <c r="A282" s="63">
        <v>276</v>
      </c>
      <c r="B282" s="92">
        <v>3</v>
      </c>
      <c r="C282" s="62" t="s">
        <v>50</v>
      </c>
      <c r="D282" s="65" t="s">
        <v>574</v>
      </c>
      <c r="E282" s="66">
        <v>8860.6571979158343</v>
      </c>
      <c r="F282" s="66">
        <v>0.48226839406495547</v>
      </c>
      <c r="G282" s="66">
        <v>8014.8366727189523</v>
      </c>
      <c r="H282" s="66">
        <v>8015.318941113017</v>
      </c>
      <c r="I282" s="74" t="s">
        <v>91</v>
      </c>
      <c r="J282" s="68">
        <v>6462.49</v>
      </c>
      <c r="K282" s="69">
        <v>6452</v>
      </c>
      <c r="L282" s="75"/>
      <c r="M282" s="71">
        <v>6452</v>
      </c>
      <c r="N282" s="72" t="s">
        <v>97</v>
      </c>
      <c r="O282" s="64" t="s">
        <v>575</v>
      </c>
    </row>
    <row r="283" spans="1:15" ht="20.25" customHeight="1">
      <c r="A283" s="63">
        <v>277</v>
      </c>
      <c r="B283" s="92">
        <v>4</v>
      </c>
      <c r="C283" s="62" t="s">
        <v>50</v>
      </c>
      <c r="D283" s="65" t="s">
        <v>576</v>
      </c>
      <c r="E283" s="66">
        <v>11780.804680852652</v>
      </c>
      <c r="F283" s="66">
        <v>6.4422167876434493</v>
      </c>
      <c r="G283" s="66">
        <v>10028.6536334583</v>
      </c>
      <c r="H283" s="66">
        <v>10035.095850245943</v>
      </c>
      <c r="I283" s="67" t="s">
        <v>91</v>
      </c>
      <c r="J283" s="68">
        <v>7135.27</v>
      </c>
      <c r="K283" s="69">
        <v>7114.9206762179856</v>
      </c>
      <c r="L283" s="70"/>
      <c r="M283" s="71">
        <v>7114.9206762179856</v>
      </c>
      <c r="N283" s="72" t="s">
        <v>97</v>
      </c>
      <c r="O283" s="64" t="s">
        <v>577</v>
      </c>
    </row>
    <row r="284" spans="1:15" ht="20.25" customHeight="1">
      <c r="A284" s="63">
        <v>278</v>
      </c>
      <c r="B284" s="92">
        <v>5</v>
      </c>
      <c r="C284" s="62" t="s">
        <v>50</v>
      </c>
      <c r="D284" s="65" t="s">
        <v>578</v>
      </c>
      <c r="E284" s="66">
        <v>7139.6798480712105</v>
      </c>
      <c r="F284" s="66">
        <v>5.1835026177634322</v>
      </c>
      <c r="G284" s="66">
        <v>6685.4877705427789</v>
      </c>
      <c r="H284" s="66">
        <v>6690.6712731605421</v>
      </c>
      <c r="I284" s="74" t="s">
        <v>104</v>
      </c>
      <c r="J284" s="68">
        <v>5968</v>
      </c>
      <c r="K284" s="69"/>
      <c r="L284" s="79">
        <v>5968</v>
      </c>
      <c r="M284" s="71">
        <v>5968</v>
      </c>
      <c r="N284" s="72" t="s">
        <v>116</v>
      </c>
      <c r="O284" s="64" t="s">
        <v>183</v>
      </c>
    </row>
    <row r="285" spans="1:15" ht="20.25" customHeight="1">
      <c r="A285" s="63">
        <v>279</v>
      </c>
      <c r="B285" s="92">
        <v>6</v>
      </c>
      <c r="C285" s="62" t="s">
        <v>50</v>
      </c>
      <c r="D285" s="65" t="s">
        <v>579</v>
      </c>
      <c r="E285" s="66">
        <v>6584.1438484407881</v>
      </c>
      <c r="F285" s="66">
        <v>0</v>
      </c>
      <c r="G285" s="66">
        <v>5976.1335733170672</v>
      </c>
      <c r="H285" s="66">
        <v>5976.1335733170672</v>
      </c>
      <c r="I285" s="67" t="s">
        <v>91</v>
      </c>
      <c r="J285" s="68">
        <v>6116</v>
      </c>
      <c r="K285" s="69">
        <v>5441</v>
      </c>
      <c r="L285" s="70"/>
      <c r="M285" s="71">
        <v>5441</v>
      </c>
      <c r="N285" s="72" t="s">
        <v>116</v>
      </c>
      <c r="O285" s="64" t="s">
        <v>568</v>
      </c>
    </row>
    <row r="286" spans="1:15" ht="20.25" customHeight="1">
      <c r="A286" s="63">
        <v>280</v>
      </c>
      <c r="B286" s="92">
        <v>7</v>
      </c>
      <c r="C286" s="62" t="s">
        <v>50</v>
      </c>
      <c r="D286" s="65" t="s">
        <v>580</v>
      </c>
      <c r="E286" s="66">
        <v>3572.2235155293615</v>
      </c>
      <c r="F286" s="66">
        <v>0</v>
      </c>
      <c r="G286" s="66">
        <v>3250.7154684586171</v>
      </c>
      <c r="H286" s="66">
        <v>3250.7154684586171</v>
      </c>
      <c r="I286" s="74" t="s">
        <v>91</v>
      </c>
      <c r="J286" s="68">
        <v>2265.06</v>
      </c>
      <c r="K286" s="69">
        <v>2265</v>
      </c>
      <c r="L286" s="75"/>
      <c r="M286" s="71">
        <v>2265</v>
      </c>
      <c r="N286" s="72" t="s">
        <v>97</v>
      </c>
      <c r="O286" s="64" t="s">
        <v>581</v>
      </c>
    </row>
    <row r="287" spans="1:15" ht="20.25" customHeight="1">
      <c r="A287" s="63">
        <v>281</v>
      </c>
      <c r="B287" s="92">
        <v>8</v>
      </c>
      <c r="C287" s="62" t="s">
        <v>50</v>
      </c>
      <c r="D287" s="65" t="s">
        <v>582</v>
      </c>
      <c r="E287" s="66">
        <v>19611.384850335791</v>
      </c>
      <c r="F287" s="66">
        <v>13.837026348209999</v>
      </c>
      <c r="G287" s="66">
        <v>18883.439362754663</v>
      </c>
      <c r="H287" s="66">
        <v>18897.276389102874</v>
      </c>
      <c r="I287" s="67" t="s">
        <v>91</v>
      </c>
      <c r="J287" s="68">
        <v>16013.86</v>
      </c>
      <c r="K287" s="69">
        <v>16013.415316418694</v>
      </c>
      <c r="L287" s="70"/>
      <c r="M287" s="71">
        <v>16013.415316418694</v>
      </c>
      <c r="N287" s="72" t="s">
        <v>97</v>
      </c>
      <c r="O287" s="76" t="s">
        <v>583</v>
      </c>
    </row>
    <row r="288" spans="1:15" ht="20.25" customHeight="1">
      <c r="A288" s="63">
        <v>282</v>
      </c>
      <c r="B288" s="92">
        <v>9</v>
      </c>
      <c r="C288" s="62" t="s">
        <v>50</v>
      </c>
      <c r="D288" s="65" t="s">
        <v>584</v>
      </c>
      <c r="E288" s="66">
        <v>2164.0629831683145</v>
      </c>
      <c r="F288" s="66">
        <v>0</v>
      </c>
      <c r="G288" s="66">
        <v>1340.7382483518929</v>
      </c>
      <c r="H288" s="66">
        <v>1340.7382483518929</v>
      </c>
      <c r="I288" s="74" t="s">
        <v>91</v>
      </c>
      <c r="J288" s="68">
        <v>1082</v>
      </c>
      <c r="K288" s="69">
        <v>1082</v>
      </c>
      <c r="L288" s="70"/>
      <c r="M288" s="71">
        <v>1082</v>
      </c>
      <c r="N288" s="72" t="s">
        <v>116</v>
      </c>
      <c r="O288" s="64" t="s">
        <v>542</v>
      </c>
    </row>
    <row r="289" spans="1:15" ht="20.25" customHeight="1">
      <c r="A289" s="63">
        <v>283</v>
      </c>
      <c r="B289" s="63">
        <v>1</v>
      </c>
      <c r="C289" s="64" t="s">
        <v>51</v>
      </c>
      <c r="D289" s="65" t="s">
        <v>585</v>
      </c>
      <c r="E289" s="84">
        <v>41098.590661478658</v>
      </c>
      <c r="F289" s="66">
        <v>999.34445685219112</v>
      </c>
      <c r="G289" s="66">
        <v>41260.359488581715</v>
      </c>
      <c r="H289" s="66">
        <v>42259.703945433903</v>
      </c>
      <c r="I289" s="67" t="s">
        <v>104</v>
      </c>
      <c r="J289" s="68">
        <v>32164.14</v>
      </c>
      <c r="K289" s="69"/>
      <c r="L289" s="79">
        <v>32164.14</v>
      </c>
      <c r="M289" s="71">
        <v>32164.14</v>
      </c>
      <c r="N289" s="72" t="s">
        <v>97</v>
      </c>
      <c r="O289" s="64" t="s">
        <v>586</v>
      </c>
    </row>
    <row r="290" spans="1:15" ht="20.25" customHeight="1">
      <c r="A290" s="63">
        <v>284</v>
      </c>
      <c r="B290" s="63">
        <v>2</v>
      </c>
      <c r="C290" s="64" t="s">
        <v>51</v>
      </c>
      <c r="D290" s="65" t="s">
        <v>587</v>
      </c>
      <c r="E290" s="66">
        <v>16843.85038115488</v>
      </c>
      <c r="F290" s="66">
        <v>398.82735934554722</v>
      </c>
      <c r="G290" s="66">
        <v>17670.510503711332</v>
      </c>
      <c r="H290" s="66">
        <v>18069.33786305688</v>
      </c>
      <c r="I290" s="74" t="s">
        <v>104</v>
      </c>
      <c r="J290" s="68">
        <v>15985</v>
      </c>
      <c r="K290" s="69"/>
      <c r="L290" s="79">
        <v>15985</v>
      </c>
      <c r="M290" s="71">
        <v>15985</v>
      </c>
      <c r="N290" s="72" t="s">
        <v>116</v>
      </c>
      <c r="O290" s="64" t="s">
        <v>588</v>
      </c>
    </row>
    <row r="291" spans="1:15" ht="20.25" customHeight="1">
      <c r="A291" s="63">
        <v>285</v>
      </c>
      <c r="B291" s="63">
        <v>3</v>
      </c>
      <c r="C291" s="64" t="s">
        <v>51</v>
      </c>
      <c r="D291" s="65" t="s">
        <v>589</v>
      </c>
      <c r="E291" s="66">
        <v>1620.8858962842853</v>
      </c>
      <c r="F291" s="66">
        <v>27.9556500259553</v>
      </c>
      <c r="G291" s="66">
        <v>1533.0702109658787</v>
      </c>
      <c r="H291" s="66">
        <v>1561.025860991834</v>
      </c>
      <c r="I291" s="67" t="s">
        <v>104</v>
      </c>
      <c r="J291" s="68">
        <v>845.18</v>
      </c>
      <c r="K291" s="69"/>
      <c r="L291" s="79">
        <v>845.18</v>
      </c>
      <c r="M291" s="71">
        <v>845.18</v>
      </c>
      <c r="N291" s="72" t="s">
        <v>126</v>
      </c>
      <c r="O291" s="64" t="s">
        <v>590</v>
      </c>
    </row>
    <row r="292" spans="1:15" ht="20.25" customHeight="1">
      <c r="A292" s="63">
        <v>286</v>
      </c>
      <c r="B292" s="63">
        <v>4</v>
      </c>
      <c r="C292" s="64" t="s">
        <v>51</v>
      </c>
      <c r="D292" s="65" t="s">
        <v>591</v>
      </c>
      <c r="E292" s="66">
        <v>1564.2662942887334</v>
      </c>
      <c r="F292" s="66">
        <v>0</v>
      </c>
      <c r="G292" s="66">
        <v>1382.4777380742144</v>
      </c>
      <c r="H292" s="66">
        <v>1382.4777380742144</v>
      </c>
      <c r="I292" s="74" t="s">
        <v>91</v>
      </c>
      <c r="J292" s="68">
        <v>509.54</v>
      </c>
      <c r="K292" s="69">
        <v>491</v>
      </c>
      <c r="L292" s="70"/>
      <c r="M292" s="71">
        <v>491</v>
      </c>
      <c r="N292" s="72" t="s">
        <v>116</v>
      </c>
      <c r="O292" s="64" t="s">
        <v>349</v>
      </c>
    </row>
    <row r="293" spans="1:15" ht="20.25" customHeight="1">
      <c r="A293" s="63">
        <v>287</v>
      </c>
      <c r="B293" s="63">
        <v>5</v>
      </c>
      <c r="C293" s="64" t="s">
        <v>51</v>
      </c>
      <c r="D293" s="65" t="s">
        <v>592</v>
      </c>
      <c r="E293" s="66">
        <v>15004.399421588989</v>
      </c>
      <c r="F293" s="66">
        <v>548.49636477215768</v>
      </c>
      <c r="G293" s="66">
        <v>14652.712408978698</v>
      </c>
      <c r="H293" s="66">
        <v>15201.208773750855</v>
      </c>
      <c r="I293" s="67" t="s">
        <v>91</v>
      </c>
      <c r="J293" s="68">
        <v>13125.349999999999</v>
      </c>
      <c r="K293" s="69"/>
      <c r="L293" s="70"/>
      <c r="M293" s="71">
        <v>0</v>
      </c>
      <c r="N293" s="72" t="s">
        <v>97</v>
      </c>
      <c r="O293" s="64" t="s">
        <v>593</v>
      </c>
    </row>
    <row r="294" spans="1:15" ht="20.25" customHeight="1">
      <c r="A294" s="63">
        <v>288</v>
      </c>
      <c r="B294" s="63">
        <v>6</v>
      </c>
      <c r="C294" s="64" t="s">
        <v>51</v>
      </c>
      <c r="D294" s="65" t="s">
        <v>594</v>
      </c>
      <c r="E294" s="66">
        <v>50281.807291596626</v>
      </c>
      <c r="F294" s="66">
        <v>255.76017045622302</v>
      </c>
      <c r="G294" s="66">
        <v>49590.09197575321</v>
      </c>
      <c r="H294" s="66">
        <v>49845.852146209436</v>
      </c>
      <c r="I294" s="74" t="s">
        <v>91</v>
      </c>
      <c r="J294" s="68">
        <v>44067.62</v>
      </c>
      <c r="K294" s="69">
        <v>43273.465465317364</v>
      </c>
      <c r="L294" s="70"/>
      <c r="M294" s="71">
        <v>43273.465465317364</v>
      </c>
      <c r="N294" s="72" t="s">
        <v>97</v>
      </c>
      <c r="O294" s="76" t="s">
        <v>595</v>
      </c>
    </row>
    <row r="295" spans="1:15" ht="20.25" customHeight="1">
      <c r="A295" s="63">
        <v>289</v>
      </c>
      <c r="B295" s="63">
        <v>7</v>
      </c>
      <c r="C295" s="64" t="s">
        <v>51</v>
      </c>
      <c r="D295" s="65" t="s">
        <v>596</v>
      </c>
      <c r="E295" s="66">
        <v>39388.978943097041</v>
      </c>
      <c r="F295" s="66">
        <v>61.410686996494618</v>
      </c>
      <c r="G295" s="66">
        <v>37003.058072186715</v>
      </c>
      <c r="H295" s="66">
        <v>37064.468759183212</v>
      </c>
      <c r="I295" s="67" t="s">
        <v>91</v>
      </c>
      <c r="J295" s="68">
        <v>41528.82</v>
      </c>
      <c r="K295" s="69">
        <v>33721.013647718784</v>
      </c>
      <c r="L295" s="70"/>
      <c r="M295" s="71">
        <v>33721.013647718784</v>
      </c>
      <c r="N295" s="72" t="s">
        <v>97</v>
      </c>
      <c r="O295" s="64" t="s">
        <v>597</v>
      </c>
    </row>
    <row r="296" spans="1:15" ht="20.25" hidden="1" customHeight="1">
      <c r="A296" s="63">
        <v>290</v>
      </c>
      <c r="B296" s="63">
        <v>8</v>
      </c>
      <c r="C296" s="64" t="s">
        <v>51</v>
      </c>
      <c r="D296" s="65" t="s">
        <v>598</v>
      </c>
      <c r="E296" s="84">
        <v>5117.3727613116989</v>
      </c>
      <c r="F296" s="66">
        <v>12.6746205991158</v>
      </c>
      <c r="G296" s="66">
        <v>5619.3531601580944</v>
      </c>
      <c r="H296" s="66">
        <v>5632.0277807572102</v>
      </c>
      <c r="I296" s="74" t="s">
        <v>123</v>
      </c>
      <c r="J296" s="68">
        <v>0</v>
      </c>
      <c r="K296" s="80"/>
      <c r="L296" s="81"/>
      <c r="M296" s="82">
        <v>0</v>
      </c>
      <c r="N296" s="72" t="s">
        <v>116</v>
      </c>
      <c r="O296" s="64" t="s">
        <v>599</v>
      </c>
    </row>
    <row r="297" spans="1:15" ht="20.25" customHeight="1">
      <c r="A297" s="63">
        <v>291</v>
      </c>
      <c r="B297" s="63">
        <v>9</v>
      </c>
      <c r="C297" s="64" t="s">
        <v>51</v>
      </c>
      <c r="D297" s="65" t="s">
        <v>600</v>
      </c>
      <c r="E297" s="84">
        <v>54918.064678249575</v>
      </c>
      <c r="F297" s="66">
        <v>557.75263411600918</v>
      </c>
      <c r="G297" s="66">
        <v>57026.045006238615</v>
      </c>
      <c r="H297" s="66">
        <v>57583.797640354627</v>
      </c>
      <c r="I297" s="67" t="s">
        <v>91</v>
      </c>
      <c r="J297" s="68">
        <v>110162.4</v>
      </c>
      <c r="K297" s="69">
        <v>54623.356116813913</v>
      </c>
      <c r="L297" s="70"/>
      <c r="M297" s="71">
        <v>54623.356116813913</v>
      </c>
      <c r="N297" s="72" t="s">
        <v>97</v>
      </c>
      <c r="O297" s="76" t="s">
        <v>601</v>
      </c>
    </row>
    <row r="298" spans="1:15" ht="20.25" customHeight="1">
      <c r="A298" s="63">
        <v>292</v>
      </c>
      <c r="B298" s="63">
        <v>10</v>
      </c>
      <c r="C298" s="64" t="s">
        <v>51</v>
      </c>
      <c r="D298" s="65" t="s">
        <v>602</v>
      </c>
      <c r="E298" s="66">
        <v>8704.1668223644701</v>
      </c>
      <c r="F298" s="66">
        <v>33.239666112927239</v>
      </c>
      <c r="G298" s="66">
        <v>8707.9725987788643</v>
      </c>
      <c r="H298" s="66">
        <v>8741.2122648917921</v>
      </c>
      <c r="I298" s="74" t="s">
        <v>91</v>
      </c>
      <c r="J298" s="68">
        <v>13924</v>
      </c>
      <c r="K298" s="69">
        <v>7688</v>
      </c>
      <c r="L298" s="70"/>
      <c r="M298" s="71">
        <v>7688</v>
      </c>
      <c r="N298" s="72" t="s">
        <v>116</v>
      </c>
      <c r="O298" s="64" t="s">
        <v>603</v>
      </c>
    </row>
    <row r="299" spans="1:15" ht="20.25" customHeight="1">
      <c r="A299" s="63">
        <v>293</v>
      </c>
      <c r="B299" s="63">
        <v>1</v>
      </c>
      <c r="C299" s="62" t="s">
        <v>52</v>
      </c>
      <c r="D299" s="65" t="s">
        <v>604</v>
      </c>
      <c r="E299" s="66">
        <v>557.55256569003154</v>
      </c>
      <c r="F299" s="66">
        <v>77.388940516016262</v>
      </c>
      <c r="G299" s="66">
        <v>704.66724959114254</v>
      </c>
      <c r="H299" s="66">
        <v>782.05619010715884</v>
      </c>
      <c r="I299" s="67" t="s">
        <v>91</v>
      </c>
      <c r="J299" s="68">
        <v>230640</v>
      </c>
      <c r="K299" s="69">
        <v>522</v>
      </c>
      <c r="L299" s="70"/>
      <c r="M299" s="71">
        <v>522</v>
      </c>
      <c r="N299" s="72" t="s">
        <v>126</v>
      </c>
      <c r="O299" s="64" t="s">
        <v>605</v>
      </c>
    </row>
    <row r="300" spans="1:15" ht="20.25" customHeight="1">
      <c r="A300" s="63">
        <v>294</v>
      </c>
      <c r="B300" s="63">
        <v>2</v>
      </c>
      <c r="C300" s="62" t="s">
        <v>52</v>
      </c>
      <c r="D300" s="65" t="s">
        <v>606</v>
      </c>
      <c r="E300" s="66">
        <v>5505.1090567668698</v>
      </c>
      <c r="F300" s="66">
        <v>199.254680160888</v>
      </c>
      <c r="G300" s="66">
        <v>5492.3203714593874</v>
      </c>
      <c r="H300" s="66">
        <v>5691.5750516202752</v>
      </c>
      <c r="I300" s="74" t="s">
        <v>91</v>
      </c>
      <c r="J300" s="68">
        <v>3849</v>
      </c>
      <c r="K300" s="69">
        <v>3096</v>
      </c>
      <c r="L300" s="70"/>
      <c r="M300" s="71">
        <v>3096</v>
      </c>
      <c r="N300" s="72" t="s">
        <v>116</v>
      </c>
      <c r="O300" s="64" t="s">
        <v>262</v>
      </c>
    </row>
    <row r="301" spans="1:15" ht="20.25" customHeight="1">
      <c r="A301" s="63">
        <v>295</v>
      </c>
      <c r="B301" s="63">
        <v>3</v>
      </c>
      <c r="C301" s="62" t="s">
        <v>52</v>
      </c>
      <c r="D301" s="65" t="s">
        <v>607</v>
      </c>
      <c r="E301" s="66">
        <v>4257.7466925032113</v>
      </c>
      <c r="F301" s="66">
        <v>0</v>
      </c>
      <c r="G301" s="66">
        <v>4274.847164738474</v>
      </c>
      <c r="H301" s="66">
        <v>4274.847164738474</v>
      </c>
      <c r="I301" s="67" t="s">
        <v>91</v>
      </c>
      <c r="J301" s="68">
        <v>4265.1899999999996</v>
      </c>
      <c r="K301" s="69">
        <v>4257.7467130000005</v>
      </c>
      <c r="L301" s="70"/>
      <c r="M301" s="71">
        <v>4257.7467130000005</v>
      </c>
      <c r="N301" s="72" t="s">
        <v>126</v>
      </c>
      <c r="O301" s="64" t="s">
        <v>608</v>
      </c>
    </row>
    <row r="302" spans="1:15" ht="20.25" customHeight="1">
      <c r="A302" s="63">
        <v>296</v>
      </c>
      <c r="B302" s="63">
        <v>4</v>
      </c>
      <c r="C302" s="62" t="s">
        <v>52</v>
      </c>
      <c r="D302" s="65" t="s">
        <v>609</v>
      </c>
      <c r="E302" s="66">
        <v>567.24534491888608</v>
      </c>
      <c r="F302" s="66">
        <v>0</v>
      </c>
      <c r="G302" s="66">
        <v>782.35604188397087</v>
      </c>
      <c r="H302" s="66">
        <v>782.35604188397087</v>
      </c>
      <c r="I302" s="74" t="s">
        <v>91</v>
      </c>
      <c r="J302" s="68">
        <v>10575.73</v>
      </c>
      <c r="K302" s="69">
        <v>423</v>
      </c>
      <c r="L302" s="70"/>
      <c r="M302" s="71">
        <v>423</v>
      </c>
      <c r="N302" s="72" t="s">
        <v>126</v>
      </c>
      <c r="O302" s="64" t="s">
        <v>610</v>
      </c>
    </row>
    <row r="303" spans="1:15" ht="20.25" hidden="1" customHeight="1">
      <c r="A303" s="63">
        <v>297</v>
      </c>
      <c r="B303" s="63">
        <v>6</v>
      </c>
      <c r="C303" s="62" t="s">
        <v>52</v>
      </c>
      <c r="D303" s="65" t="s">
        <v>611</v>
      </c>
      <c r="E303" s="66">
        <v>487.39773179582659</v>
      </c>
      <c r="F303" s="66">
        <v>3.3963657723009999</v>
      </c>
      <c r="G303" s="66">
        <v>384.38327718838144</v>
      </c>
      <c r="H303" s="66">
        <v>387.77964296068245</v>
      </c>
      <c r="I303" s="67" t="s">
        <v>123</v>
      </c>
      <c r="J303" s="68">
        <v>0</v>
      </c>
      <c r="K303" s="80"/>
      <c r="L303" s="81"/>
      <c r="M303" s="82">
        <v>0</v>
      </c>
      <c r="N303" s="72" t="s">
        <v>116</v>
      </c>
      <c r="O303" s="64" t="s">
        <v>612</v>
      </c>
    </row>
    <row r="304" spans="1:15" ht="20.25" customHeight="1">
      <c r="A304" s="63">
        <v>298</v>
      </c>
      <c r="B304" s="63">
        <v>5</v>
      </c>
      <c r="C304" s="62" t="s">
        <v>52</v>
      </c>
      <c r="D304" s="65" t="s">
        <v>613</v>
      </c>
      <c r="E304" s="66">
        <v>15236.646580694654</v>
      </c>
      <c r="F304" s="66">
        <v>799.39766165357321</v>
      </c>
      <c r="G304" s="66">
        <v>14902.56671118856</v>
      </c>
      <c r="H304" s="66">
        <v>15701.964372842132</v>
      </c>
      <c r="I304" s="74" t="s">
        <v>104</v>
      </c>
      <c r="J304" s="68">
        <v>64742</v>
      </c>
      <c r="K304" s="69"/>
      <c r="L304" s="79">
        <v>15236.646580694654</v>
      </c>
      <c r="M304" s="71">
        <v>15236.646580694654</v>
      </c>
      <c r="N304" s="72" t="s">
        <v>126</v>
      </c>
      <c r="O304" s="64" t="s">
        <v>614</v>
      </c>
    </row>
    <row r="305" spans="1:15" ht="20.25" customHeight="1">
      <c r="A305" s="63">
        <v>299</v>
      </c>
      <c r="B305" s="63">
        <v>7</v>
      </c>
      <c r="C305" s="62" t="s">
        <v>52</v>
      </c>
      <c r="D305" s="65" t="s">
        <v>615</v>
      </c>
      <c r="E305" s="66">
        <v>81.986673597423604</v>
      </c>
      <c r="F305" s="66">
        <v>0</v>
      </c>
      <c r="G305" s="66">
        <v>214.96146473219869</v>
      </c>
      <c r="H305" s="66">
        <v>214.96146473219869</v>
      </c>
      <c r="I305" s="67" t="s">
        <v>104</v>
      </c>
      <c r="J305" s="68">
        <v>620</v>
      </c>
      <c r="K305" s="69"/>
      <c r="L305" s="79">
        <v>81.986673597423604</v>
      </c>
      <c r="M305" s="71">
        <v>81.986673597423604</v>
      </c>
      <c r="N305" s="72" t="s">
        <v>116</v>
      </c>
      <c r="O305" s="64" t="s">
        <v>267</v>
      </c>
    </row>
    <row r="306" spans="1:15" ht="20.25" customHeight="1">
      <c r="A306" s="63">
        <v>300</v>
      </c>
      <c r="B306" s="63">
        <v>8</v>
      </c>
      <c r="C306" s="62" t="s">
        <v>52</v>
      </c>
      <c r="D306" s="65" t="s">
        <v>616</v>
      </c>
      <c r="E306" s="66">
        <v>4901.3803524166642</v>
      </c>
      <c r="F306" s="66">
        <v>9.7640245069928984</v>
      </c>
      <c r="G306" s="66">
        <v>7662.8494033767256</v>
      </c>
      <c r="H306" s="66">
        <v>7672.6134278837189</v>
      </c>
      <c r="I306" s="74" t="s">
        <v>91</v>
      </c>
      <c r="J306" s="68">
        <v>21787.460000000003</v>
      </c>
      <c r="K306" s="69">
        <v>4665.3286532201</v>
      </c>
      <c r="L306" s="70"/>
      <c r="M306" s="71">
        <v>4665.3286532201</v>
      </c>
      <c r="N306" s="72" t="s">
        <v>97</v>
      </c>
      <c r="O306" s="64" t="s">
        <v>617</v>
      </c>
    </row>
    <row r="307" spans="1:15" ht="20.25" customHeight="1">
      <c r="A307" s="63">
        <v>301</v>
      </c>
      <c r="B307" s="63">
        <v>9</v>
      </c>
      <c r="C307" s="62" t="s">
        <v>52</v>
      </c>
      <c r="D307" s="65" t="s">
        <v>618</v>
      </c>
      <c r="E307" s="66">
        <v>12240.749552628569</v>
      </c>
      <c r="F307" s="66">
        <v>6.5415994421695096</v>
      </c>
      <c r="G307" s="66">
        <v>12567.579223411542</v>
      </c>
      <c r="H307" s="66">
        <v>12574.120822853711</v>
      </c>
      <c r="I307" s="67" t="s">
        <v>91</v>
      </c>
      <c r="J307" s="68">
        <v>36425.19</v>
      </c>
      <c r="K307" s="69">
        <v>11396.6</v>
      </c>
      <c r="L307" s="70"/>
      <c r="M307" s="71">
        <v>11396.6</v>
      </c>
      <c r="N307" s="72" t="s">
        <v>92</v>
      </c>
      <c r="O307" s="64" t="s">
        <v>619</v>
      </c>
    </row>
    <row r="308" spans="1:15" ht="20.25" customHeight="1">
      <c r="A308" s="63">
        <v>302</v>
      </c>
      <c r="B308" s="63">
        <v>10</v>
      </c>
      <c r="C308" s="62" t="s">
        <v>52</v>
      </c>
      <c r="D308" s="65" t="s">
        <v>620</v>
      </c>
      <c r="E308" s="66">
        <v>18267.238561233615</v>
      </c>
      <c r="F308" s="66">
        <v>46.9869781116128</v>
      </c>
      <c r="G308" s="66">
        <v>17426.274464279115</v>
      </c>
      <c r="H308" s="66">
        <v>17473.261442390729</v>
      </c>
      <c r="I308" s="74" t="s">
        <v>91</v>
      </c>
      <c r="J308" s="68">
        <v>19119</v>
      </c>
      <c r="K308" s="69">
        <v>17752.379158040527</v>
      </c>
      <c r="L308" s="70"/>
      <c r="M308" s="71">
        <v>17752.379158040527</v>
      </c>
      <c r="N308" s="72" t="s">
        <v>116</v>
      </c>
      <c r="O308" s="64" t="s">
        <v>621</v>
      </c>
    </row>
    <row r="309" spans="1:15" ht="20.25" customHeight="1">
      <c r="A309" s="63">
        <v>303</v>
      </c>
      <c r="B309" s="63">
        <v>11</v>
      </c>
      <c r="C309" s="62" t="s">
        <v>52</v>
      </c>
      <c r="D309" s="65" t="s">
        <v>622</v>
      </c>
      <c r="E309" s="66">
        <v>13627.13033272666</v>
      </c>
      <c r="F309" s="66">
        <v>65.659646724597039</v>
      </c>
      <c r="G309" s="66">
        <v>15444.544045634078</v>
      </c>
      <c r="H309" s="66">
        <v>15510.203692358675</v>
      </c>
      <c r="I309" s="67" t="s">
        <v>91</v>
      </c>
      <c r="J309" s="68">
        <v>15526.19</v>
      </c>
      <c r="K309" s="69">
        <v>13044.03989261987</v>
      </c>
      <c r="L309" s="70"/>
      <c r="M309" s="71">
        <v>13044.03989261987</v>
      </c>
      <c r="N309" s="72" t="s">
        <v>97</v>
      </c>
      <c r="O309" s="64" t="s">
        <v>623</v>
      </c>
    </row>
    <row r="310" spans="1:15" ht="20.25" customHeight="1">
      <c r="A310" s="63">
        <v>304</v>
      </c>
      <c r="B310" s="63">
        <v>12</v>
      </c>
      <c r="C310" s="62" t="s">
        <v>52</v>
      </c>
      <c r="D310" s="65" t="s">
        <v>624</v>
      </c>
      <c r="E310" s="66">
        <v>7072.646832982824</v>
      </c>
      <c r="F310" s="66">
        <v>109.67150815619674</v>
      </c>
      <c r="G310" s="66">
        <v>7661.3753383699541</v>
      </c>
      <c r="H310" s="66">
        <v>7771.0468465261511</v>
      </c>
      <c r="I310" s="74" t="s">
        <v>104</v>
      </c>
      <c r="J310" s="68">
        <v>9936</v>
      </c>
      <c r="K310" s="69"/>
      <c r="L310" s="79">
        <v>7072.646832982824</v>
      </c>
      <c r="M310" s="71">
        <v>7072.646832982824</v>
      </c>
      <c r="N310" s="72" t="s">
        <v>116</v>
      </c>
      <c r="O310" s="64" t="s">
        <v>625</v>
      </c>
    </row>
    <row r="311" spans="1:15" ht="20.25" customHeight="1">
      <c r="A311" s="63">
        <v>305</v>
      </c>
      <c r="B311" s="63">
        <v>13</v>
      </c>
      <c r="C311" s="62" t="s">
        <v>52</v>
      </c>
      <c r="D311" s="65" t="s">
        <v>626</v>
      </c>
      <c r="E311" s="66">
        <v>7319.5299253026415</v>
      </c>
      <c r="F311" s="66">
        <v>3.0883390242987003</v>
      </c>
      <c r="G311" s="66">
        <v>7909.838352890597</v>
      </c>
      <c r="H311" s="66">
        <v>7912.9266919148959</v>
      </c>
      <c r="I311" s="67" t="s">
        <v>104</v>
      </c>
      <c r="J311" s="68">
        <v>35850</v>
      </c>
      <c r="K311" s="69"/>
      <c r="L311" s="79">
        <v>7319.5299253026415</v>
      </c>
      <c r="M311" s="71">
        <v>7319.5299253026415</v>
      </c>
      <c r="N311" s="72" t="s">
        <v>126</v>
      </c>
      <c r="O311" s="64" t="s">
        <v>627</v>
      </c>
    </row>
    <row r="312" spans="1:15" ht="20.25" customHeight="1">
      <c r="A312" s="63">
        <v>306</v>
      </c>
      <c r="B312" s="63">
        <v>14</v>
      </c>
      <c r="C312" s="62" t="s">
        <v>52</v>
      </c>
      <c r="D312" s="65" t="s">
        <v>628</v>
      </c>
      <c r="E312" s="66">
        <v>10256.396143839016</v>
      </c>
      <c r="F312" s="66">
        <v>171.67740786012692</v>
      </c>
      <c r="G312" s="66">
        <v>14825.077365151443</v>
      </c>
      <c r="H312" s="66">
        <v>14996.754773011569</v>
      </c>
      <c r="I312" s="74" t="s">
        <v>91</v>
      </c>
      <c r="J312" s="68">
        <v>16495.45</v>
      </c>
      <c r="K312" s="69">
        <v>9971.4577285269461</v>
      </c>
      <c r="L312" s="70"/>
      <c r="M312" s="71">
        <v>9971.4577285269461</v>
      </c>
      <c r="N312" s="72" t="s">
        <v>92</v>
      </c>
      <c r="O312" s="76" t="s">
        <v>629</v>
      </c>
    </row>
    <row r="313" spans="1:15" ht="20.25" customHeight="1">
      <c r="A313" s="63">
        <v>307</v>
      </c>
      <c r="B313" s="63">
        <v>15</v>
      </c>
      <c r="C313" s="62" t="s">
        <v>52</v>
      </c>
      <c r="D313" s="65" t="s">
        <v>630</v>
      </c>
      <c r="E313" s="66">
        <v>2387.6784156206354</v>
      </c>
      <c r="F313" s="66">
        <v>0</v>
      </c>
      <c r="G313" s="66">
        <v>2462.7445341127623</v>
      </c>
      <c r="H313" s="66">
        <v>2462.7445341127623</v>
      </c>
      <c r="I313" s="67" t="s">
        <v>104</v>
      </c>
      <c r="J313" s="68">
        <v>15574</v>
      </c>
      <c r="K313" s="69"/>
      <c r="L313" s="79">
        <v>2387.6784156206354</v>
      </c>
      <c r="M313" s="71">
        <v>2387.6784156206354</v>
      </c>
      <c r="N313" s="72" t="s">
        <v>116</v>
      </c>
      <c r="O313" s="64" t="s">
        <v>631</v>
      </c>
    </row>
    <row r="314" spans="1:15" ht="20.25" customHeight="1">
      <c r="A314" s="63">
        <v>308</v>
      </c>
      <c r="B314" s="63">
        <v>16</v>
      </c>
      <c r="C314" s="62" t="s">
        <v>52</v>
      </c>
      <c r="D314" s="65" t="s">
        <v>632</v>
      </c>
      <c r="E314" s="66">
        <v>2011.5256646659145</v>
      </c>
      <c r="F314" s="66">
        <v>58.300811612769579</v>
      </c>
      <c r="G314" s="66">
        <v>1941.435915043344</v>
      </c>
      <c r="H314" s="66">
        <v>1999.7367266561137</v>
      </c>
      <c r="I314" s="74" t="s">
        <v>91</v>
      </c>
      <c r="J314" s="68">
        <v>1906.8</v>
      </c>
      <c r="K314" s="69">
        <v>1873</v>
      </c>
      <c r="L314" s="70"/>
      <c r="M314" s="71">
        <v>1873</v>
      </c>
      <c r="N314" s="72" t="s">
        <v>126</v>
      </c>
      <c r="O314" s="64" t="s">
        <v>633</v>
      </c>
    </row>
    <row r="315" spans="1:15" ht="20.25" customHeight="1">
      <c r="A315" s="63">
        <v>309</v>
      </c>
      <c r="B315" s="63">
        <v>17</v>
      </c>
      <c r="C315" s="62" t="s">
        <v>52</v>
      </c>
      <c r="D315" s="65" t="s">
        <v>634</v>
      </c>
      <c r="E315" s="66">
        <v>7800.4290917860417</v>
      </c>
      <c r="F315" s="66">
        <v>46.067835161346196</v>
      </c>
      <c r="G315" s="66">
        <v>7442.4527500665245</v>
      </c>
      <c r="H315" s="66">
        <v>7488.5205852278705</v>
      </c>
      <c r="I315" s="67" t="s">
        <v>104</v>
      </c>
      <c r="J315" s="68">
        <v>7863</v>
      </c>
      <c r="K315" s="69"/>
      <c r="L315" s="79">
        <v>7800.4290917860417</v>
      </c>
      <c r="M315" s="71">
        <v>7800.4290917860417</v>
      </c>
      <c r="N315" s="72" t="s">
        <v>116</v>
      </c>
      <c r="O315" s="64" t="s">
        <v>159</v>
      </c>
    </row>
    <row r="316" spans="1:15" ht="20.25" hidden="1" customHeight="1">
      <c r="A316" s="63">
        <v>310</v>
      </c>
      <c r="B316" s="63">
        <v>18</v>
      </c>
      <c r="C316" s="62" t="s">
        <v>52</v>
      </c>
      <c r="D316" s="65" t="s">
        <v>635</v>
      </c>
      <c r="E316" s="66">
        <v>6390.092146617103</v>
      </c>
      <c r="F316" s="66">
        <v>179.1962273375687</v>
      </c>
      <c r="G316" s="66">
        <v>6048.7770718748643</v>
      </c>
      <c r="H316" s="66">
        <v>6227.9732992124327</v>
      </c>
      <c r="I316" s="74" t="s">
        <v>123</v>
      </c>
      <c r="J316" s="68">
        <v>0</v>
      </c>
      <c r="K316" s="80"/>
      <c r="L316" s="81"/>
      <c r="M316" s="82">
        <v>0</v>
      </c>
      <c r="N316" s="72" t="s">
        <v>116</v>
      </c>
      <c r="O316" s="64" t="s">
        <v>636</v>
      </c>
    </row>
    <row r="317" spans="1:15" ht="20.25" customHeight="1">
      <c r="A317" s="63">
        <v>311</v>
      </c>
      <c r="B317" s="63">
        <v>19</v>
      </c>
      <c r="C317" s="62" t="s">
        <v>52</v>
      </c>
      <c r="D317" s="65" t="s">
        <v>637</v>
      </c>
      <c r="E317" s="66">
        <v>6399.8942205003495</v>
      </c>
      <c r="F317" s="66">
        <v>47.072159898249396</v>
      </c>
      <c r="G317" s="66">
        <v>7051.3554451543669</v>
      </c>
      <c r="H317" s="66">
        <v>7098.4276050526159</v>
      </c>
      <c r="I317" s="67" t="s">
        <v>104</v>
      </c>
      <c r="J317" s="68">
        <v>5816</v>
      </c>
      <c r="K317" s="69"/>
      <c r="L317" s="79">
        <v>5816</v>
      </c>
      <c r="M317" s="71">
        <v>5816</v>
      </c>
      <c r="N317" s="72" t="s">
        <v>116</v>
      </c>
      <c r="O317" s="64" t="s">
        <v>145</v>
      </c>
    </row>
    <row r="318" spans="1:15" ht="20.25" customHeight="1">
      <c r="A318" s="63">
        <v>312</v>
      </c>
      <c r="B318" s="63">
        <v>20</v>
      </c>
      <c r="C318" s="62" t="s">
        <v>52</v>
      </c>
      <c r="D318" s="65" t="s">
        <v>638</v>
      </c>
      <c r="E318" s="66">
        <v>16474.383957999355</v>
      </c>
      <c r="F318" s="66">
        <v>1384.5583051922752</v>
      </c>
      <c r="G318" s="66">
        <v>19788.675974082453</v>
      </c>
      <c r="H318" s="66">
        <v>21173.234279274729</v>
      </c>
      <c r="I318" s="74" t="s">
        <v>91</v>
      </c>
      <c r="J318" s="68">
        <v>34678.949999999997</v>
      </c>
      <c r="K318" s="69">
        <v>15590.605090370786</v>
      </c>
      <c r="L318" s="70"/>
      <c r="M318" s="71">
        <v>15590.605090370786</v>
      </c>
      <c r="N318" s="72" t="s">
        <v>92</v>
      </c>
      <c r="O318" s="76" t="s">
        <v>639</v>
      </c>
    </row>
    <row r="319" spans="1:15" ht="20.25" customHeight="1">
      <c r="A319" s="63">
        <v>313</v>
      </c>
      <c r="B319" s="63">
        <v>21</v>
      </c>
      <c r="C319" s="62" t="s">
        <v>52</v>
      </c>
      <c r="D319" s="65" t="s">
        <v>640</v>
      </c>
      <c r="E319" s="66">
        <v>5256.3627807396306</v>
      </c>
      <c r="F319" s="66">
        <v>197.97552032924233</v>
      </c>
      <c r="G319" s="66">
        <v>8900.3317214700164</v>
      </c>
      <c r="H319" s="66">
        <v>9098.3072417992589</v>
      </c>
      <c r="I319" s="67" t="s">
        <v>91</v>
      </c>
      <c r="J319" s="68">
        <v>32478.79</v>
      </c>
      <c r="K319" s="69">
        <v>3262.3395973253901</v>
      </c>
      <c r="L319" s="75"/>
      <c r="M319" s="71">
        <v>3262.3395973253901</v>
      </c>
      <c r="N319" s="72" t="s">
        <v>97</v>
      </c>
      <c r="O319" s="76" t="s">
        <v>641</v>
      </c>
    </row>
    <row r="320" spans="1:15" ht="20.25" customHeight="1">
      <c r="A320" s="63">
        <v>314</v>
      </c>
      <c r="B320" s="63">
        <v>22</v>
      </c>
      <c r="C320" s="62" t="s">
        <v>52</v>
      </c>
      <c r="D320" s="65" t="s">
        <v>642</v>
      </c>
      <c r="E320" s="66">
        <v>8421.2263183102386</v>
      </c>
      <c r="F320" s="66">
        <v>39.198299213648788</v>
      </c>
      <c r="G320" s="66">
        <v>9358.3777566097215</v>
      </c>
      <c r="H320" s="66">
        <v>9397.5760558233706</v>
      </c>
      <c r="I320" s="74" t="s">
        <v>91</v>
      </c>
      <c r="J320" s="68">
        <v>15661.33</v>
      </c>
      <c r="K320" s="69">
        <v>8105.3302324349397</v>
      </c>
      <c r="L320" s="70"/>
      <c r="M320" s="71">
        <v>8105.3302324349397</v>
      </c>
      <c r="N320" s="72" t="s">
        <v>97</v>
      </c>
      <c r="O320" s="64" t="s">
        <v>643</v>
      </c>
    </row>
    <row r="321" spans="1:15" ht="20.25" customHeight="1">
      <c r="A321" s="63">
        <v>315</v>
      </c>
      <c r="B321" s="63">
        <v>1</v>
      </c>
      <c r="C321" s="64" t="s">
        <v>53</v>
      </c>
      <c r="D321" s="65" t="s">
        <v>644</v>
      </c>
      <c r="E321" s="93">
        <v>10500.009330164456</v>
      </c>
      <c r="F321" s="66">
        <v>5343.4027622305366</v>
      </c>
      <c r="G321" s="66">
        <v>3344.2402560549017</v>
      </c>
      <c r="H321" s="66">
        <v>8687.6430182854383</v>
      </c>
      <c r="I321" s="67" t="s">
        <v>91</v>
      </c>
      <c r="J321" s="68">
        <v>51932.81</v>
      </c>
      <c r="K321" s="69">
        <v>7600.1979689658228</v>
      </c>
      <c r="L321" s="70"/>
      <c r="M321" s="71">
        <v>7600.1979689658228</v>
      </c>
      <c r="N321" s="72" t="s">
        <v>97</v>
      </c>
      <c r="O321" s="64" t="s">
        <v>645</v>
      </c>
    </row>
    <row r="322" spans="1:15" ht="20.25" hidden="1" customHeight="1">
      <c r="A322" s="63">
        <v>316</v>
      </c>
      <c r="B322" s="63">
        <v>2</v>
      </c>
      <c r="C322" s="64" t="s">
        <v>53</v>
      </c>
      <c r="D322" s="65" t="s">
        <v>646</v>
      </c>
      <c r="E322" s="93">
        <v>12458.903367377237</v>
      </c>
      <c r="F322" s="66">
        <v>3217.0670271344179</v>
      </c>
      <c r="G322" s="66">
        <v>3284.3430434342499</v>
      </c>
      <c r="H322" s="66">
        <v>6501.4100705686678</v>
      </c>
      <c r="I322" s="74" t="s">
        <v>123</v>
      </c>
      <c r="J322" s="68">
        <v>0</v>
      </c>
      <c r="K322" s="80"/>
      <c r="L322" s="81"/>
      <c r="M322" s="82">
        <v>0</v>
      </c>
      <c r="N322" s="72" t="s">
        <v>116</v>
      </c>
      <c r="O322" s="64" t="s">
        <v>647</v>
      </c>
    </row>
    <row r="323" spans="1:15" ht="20.25" customHeight="1">
      <c r="A323" s="63">
        <v>317</v>
      </c>
      <c r="B323" s="63">
        <v>3</v>
      </c>
      <c r="C323" s="64" t="s">
        <v>53</v>
      </c>
      <c r="D323" s="65" t="s">
        <v>648</v>
      </c>
      <c r="E323" s="93">
        <v>12592.611472418303</v>
      </c>
      <c r="F323" s="66">
        <v>1404.1567690917473</v>
      </c>
      <c r="G323" s="66">
        <v>7609.139322782109</v>
      </c>
      <c r="H323" s="66">
        <v>9013.2960918738572</v>
      </c>
      <c r="I323" s="67" t="s">
        <v>91</v>
      </c>
      <c r="J323" s="68">
        <v>10129.369999999999</v>
      </c>
      <c r="K323" s="69">
        <v>7857.0465479574532</v>
      </c>
      <c r="L323" s="70"/>
      <c r="M323" s="71">
        <v>7857.0465479574532</v>
      </c>
      <c r="N323" s="72" t="s">
        <v>92</v>
      </c>
      <c r="O323" s="64" t="s">
        <v>649</v>
      </c>
    </row>
    <row r="324" spans="1:15" ht="20.25" customHeight="1">
      <c r="A324" s="63">
        <v>318</v>
      </c>
      <c r="B324" s="63">
        <v>4</v>
      </c>
      <c r="C324" s="64" t="s">
        <v>53</v>
      </c>
      <c r="D324" s="65" t="s">
        <v>650</v>
      </c>
      <c r="E324" s="93">
        <v>32525.122046505749</v>
      </c>
      <c r="F324" s="66">
        <v>2370.1950750011097</v>
      </c>
      <c r="G324" s="66">
        <v>18385.334750953603</v>
      </c>
      <c r="H324" s="66">
        <v>20755.529825954713</v>
      </c>
      <c r="I324" s="74" t="s">
        <v>91</v>
      </c>
      <c r="J324" s="68">
        <v>19895.13</v>
      </c>
      <c r="K324" s="69">
        <v>18657.536620031198</v>
      </c>
      <c r="L324" s="70"/>
      <c r="M324" s="71">
        <v>18657.536620031198</v>
      </c>
      <c r="N324" s="72" t="s">
        <v>97</v>
      </c>
      <c r="O324" s="64" t="s">
        <v>651</v>
      </c>
    </row>
    <row r="325" spans="1:15" ht="20.25" hidden="1" customHeight="1">
      <c r="A325" s="63">
        <v>319</v>
      </c>
      <c r="B325" s="63">
        <v>5</v>
      </c>
      <c r="C325" s="64" t="s">
        <v>53</v>
      </c>
      <c r="D325" s="65" t="s">
        <v>652</v>
      </c>
      <c r="E325" s="93">
        <v>252.7229243936309</v>
      </c>
      <c r="F325" s="66">
        <v>0</v>
      </c>
      <c r="G325" s="66">
        <v>183.55971892813483</v>
      </c>
      <c r="H325" s="66">
        <v>183.55971892813483</v>
      </c>
      <c r="I325" s="67" t="s">
        <v>123</v>
      </c>
      <c r="J325" s="68">
        <v>0</v>
      </c>
      <c r="K325" s="80"/>
      <c r="L325" s="81"/>
      <c r="M325" s="82">
        <v>0</v>
      </c>
      <c r="N325" s="72" t="s">
        <v>116</v>
      </c>
      <c r="O325" s="64" t="s">
        <v>653</v>
      </c>
    </row>
    <row r="326" spans="1:15" ht="20.25" customHeight="1">
      <c r="A326" s="63">
        <v>320</v>
      </c>
      <c r="B326" s="63">
        <v>6</v>
      </c>
      <c r="C326" s="64" t="s">
        <v>53</v>
      </c>
      <c r="D326" s="65" t="s">
        <v>654</v>
      </c>
      <c r="E326" s="93">
        <v>2699.8937723652225</v>
      </c>
      <c r="F326" s="66">
        <v>216.020007834674</v>
      </c>
      <c r="G326" s="66">
        <v>2336.8610552619439</v>
      </c>
      <c r="H326" s="66">
        <v>2552.8810630966177</v>
      </c>
      <c r="I326" s="74" t="s">
        <v>104</v>
      </c>
      <c r="J326" s="68">
        <v>1818</v>
      </c>
      <c r="K326" s="69"/>
      <c r="L326" s="79">
        <v>1818</v>
      </c>
      <c r="M326" s="71">
        <v>1818</v>
      </c>
      <c r="N326" s="72" t="s">
        <v>116</v>
      </c>
      <c r="O326" s="64" t="s">
        <v>655</v>
      </c>
    </row>
    <row r="327" spans="1:15" ht="20.25" customHeight="1">
      <c r="A327" s="63">
        <v>321</v>
      </c>
      <c r="B327" s="63">
        <v>7</v>
      </c>
      <c r="C327" s="64" t="s">
        <v>53</v>
      </c>
      <c r="D327" s="65" t="s">
        <v>656</v>
      </c>
      <c r="E327" s="93">
        <v>34869.910974943399</v>
      </c>
      <c r="F327" s="66">
        <v>8759.2531385535967</v>
      </c>
      <c r="G327" s="66">
        <v>20085.423931792277</v>
      </c>
      <c r="H327" s="66">
        <v>28844.677070345875</v>
      </c>
      <c r="I327" s="67" t="s">
        <v>91</v>
      </c>
      <c r="J327" s="68">
        <v>15377.32</v>
      </c>
      <c r="K327" s="69">
        <v>10386.193352499284</v>
      </c>
      <c r="L327" s="70"/>
      <c r="M327" s="71">
        <v>10386.193352499284</v>
      </c>
      <c r="N327" s="72" t="s">
        <v>97</v>
      </c>
      <c r="O327" s="64" t="s">
        <v>657</v>
      </c>
    </row>
    <row r="328" spans="1:15" ht="20.25" customHeight="1">
      <c r="A328" s="63">
        <v>322</v>
      </c>
      <c r="B328" s="63">
        <v>8</v>
      </c>
      <c r="C328" s="64" t="s">
        <v>53</v>
      </c>
      <c r="D328" s="65" t="s">
        <v>658</v>
      </c>
      <c r="E328" s="93">
        <v>26670.041746095845</v>
      </c>
      <c r="F328" s="66">
        <v>10178.845064713147</v>
      </c>
      <c r="G328" s="66">
        <v>17038.931436081366</v>
      </c>
      <c r="H328" s="66">
        <v>27217.776500794513</v>
      </c>
      <c r="I328" s="74" t="s">
        <v>91</v>
      </c>
      <c r="J328" s="68">
        <v>79922.41</v>
      </c>
      <c r="K328" s="69">
        <v>20881</v>
      </c>
      <c r="L328" s="75"/>
      <c r="M328" s="71">
        <v>20881</v>
      </c>
      <c r="N328" s="72" t="s">
        <v>92</v>
      </c>
      <c r="O328" s="64" t="s">
        <v>659</v>
      </c>
    </row>
    <row r="329" spans="1:15" ht="20.25" hidden="1" customHeight="1">
      <c r="A329" s="63">
        <v>323</v>
      </c>
      <c r="B329" s="63">
        <v>9</v>
      </c>
      <c r="C329" s="64" t="s">
        <v>53</v>
      </c>
      <c r="D329" s="65" t="s">
        <v>660</v>
      </c>
      <c r="E329" s="93">
        <v>4018.5838334552263</v>
      </c>
      <c r="F329" s="66">
        <v>1763.5621466129746</v>
      </c>
      <c r="G329" s="66">
        <v>571.90003517783225</v>
      </c>
      <c r="H329" s="66">
        <v>2335.4621817908069</v>
      </c>
      <c r="I329" s="67" t="s">
        <v>661</v>
      </c>
      <c r="J329" s="68" t="s">
        <v>394</v>
      </c>
      <c r="K329" s="80"/>
      <c r="L329" s="81"/>
      <c r="M329" s="82">
        <v>0</v>
      </c>
      <c r="N329" s="72"/>
      <c r="O329" s="64" t="s">
        <v>394</v>
      </c>
    </row>
    <row r="330" spans="1:15" ht="20.25" customHeight="1">
      <c r="A330" s="63">
        <v>324</v>
      </c>
      <c r="B330" s="63">
        <v>10</v>
      </c>
      <c r="C330" s="64" t="s">
        <v>53</v>
      </c>
      <c r="D330" s="65" t="s">
        <v>662</v>
      </c>
      <c r="E330" s="93">
        <v>12459.755822079105</v>
      </c>
      <c r="F330" s="66">
        <v>6872.0031107234363</v>
      </c>
      <c r="G330" s="66">
        <v>4124.015104852916</v>
      </c>
      <c r="H330" s="66">
        <v>10996.018215576352</v>
      </c>
      <c r="I330" s="74" t="s">
        <v>104</v>
      </c>
      <c r="J330" s="68">
        <v>12512</v>
      </c>
      <c r="K330" s="69"/>
      <c r="L330" s="79">
        <v>12459.755822079105</v>
      </c>
      <c r="M330" s="71">
        <v>12459.755822079105</v>
      </c>
      <c r="N330" s="72" t="s">
        <v>116</v>
      </c>
      <c r="O330" s="64" t="s">
        <v>663</v>
      </c>
    </row>
    <row r="331" spans="1:15" ht="20.25" customHeight="1">
      <c r="A331" s="63">
        <v>325</v>
      </c>
      <c r="B331" s="63">
        <v>11</v>
      </c>
      <c r="C331" s="64" t="s">
        <v>53</v>
      </c>
      <c r="D331" s="65" t="s">
        <v>664</v>
      </c>
      <c r="E331" s="93">
        <v>43514.29236591985</v>
      </c>
      <c r="F331" s="66">
        <v>2633.7056737775847</v>
      </c>
      <c r="G331" s="66">
        <v>42410.593148948479</v>
      </c>
      <c r="H331" s="66">
        <v>45044.298822726065</v>
      </c>
      <c r="I331" s="67" t="s">
        <v>91</v>
      </c>
      <c r="J331" s="68">
        <v>43948.119999999995</v>
      </c>
      <c r="K331" s="69">
        <v>35726.68472172293</v>
      </c>
      <c r="L331" s="70"/>
      <c r="M331" s="71">
        <v>35726.68472172293</v>
      </c>
      <c r="N331" s="72" t="s">
        <v>92</v>
      </c>
      <c r="O331" s="64" t="s">
        <v>665</v>
      </c>
    </row>
    <row r="332" spans="1:15" ht="20.25" customHeight="1">
      <c r="A332" s="63">
        <v>326</v>
      </c>
      <c r="B332" s="63">
        <v>12</v>
      </c>
      <c r="C332" s="64" t="s">
        <v>53</v>
      </c>
      <c r="D332" s="65" t="s">
        <v>666</v>
      </c>
      <c r="E332" s="93">
        <v>24532.634789767282</v>
      </c>
      <c r="F332" s="66">
        <v>5632.2202664089136</v>
      </c>
      <c r="G332" s="66">
        <v>16013.703456751349</v>
      </c>
      <c r="H332" s="66">
        <v>21645.923723160264</v>
      </c>
      <c r="I332" s="74" t="s">
        <v>91</v>
      </c>
      <c r="J332" s="68">
        <v>15744.23</v>
      </c>
      <c r="K332" s="69">
        <v>11130</v>
      </c>
      <c r="L332" s="70"/>
      <c r="M332" s="71">
        <v>11130</v>
      </c>
      <c r="N332" s="72" t="s">
        <v>97</v>
      </c>
      <c r="O332" s="64" t="s">
        <v>667</v>
      </c>
    </row>
    <row r="333" spans="1:15" ht="20.25" customHeight="1">
      <c r="A333" s="63">
        <v>327</v>
      </c>
      <c r="B333" s="63">
        <v>13</v>
      </c>
      <c r="C333" s="64" t="s">
        <v>53</v>
      </c>
      <c r="D333" s="65" t="s">
        <v>668</v>
      </c>
      <c r="E333" s="93">
        <v>8891.3827894294482</v>
      </c>
      <c r="F333" s="66">
        <v>906.01644484679218</v>
      </c>
      <c r="G333" s="66">
        <v>6117.8368923054659</v>
      </c>
      <c r="H333" s="66">
        <v>7023.8533371522581</v>
      </c>
      <c r="I333" s="67" t="s">
        <v>104</v>
      </c>
      <c r="J333" s="68">
        <v>7500</v>
      </c>
      <c r="K333" s="69"/>
      <c r="L333" s="79">
        <v>7500</v>
      </c>
      <c r="M333" s="71">
        <v>7500</v>
      </c>
      <c r="N333" s="72" t="s">
        <v>116</v>
      </c>
      <c r="O333" s="64" t="s">
        <v>669</v>
      </c>
    </row>
    <row r="334" spans="1:15" ht="20.25" hidden="1" customHeight="1">
      <c r="A334" s="63">
        <v>328</v>
      </c>
      <c r="B334" s="63">
        <v>14</v>
      </c>
      <c r="C334" s="64" t="s">
        <v>53</v>
      </c>
      <c r="D334" s="65" t="s">
        <v>670</v>
      </c>
      <c r="E334" s="93">
        <v>16986.450864875293</v>
      </c>
      <c r="F334" s="66">
        <v>5070.6073801376797</v>
      </c>
      <c r="G334" s="66">
        <v>4626.1314925370043</v>
      </c>
      <c r="H334" s="66">
        <v>9696.7388726746831</v>
      </c>
      <c r="I334" s="74" t="s">
        <v>123</v>
      </c>
      <c r="J334" s="68">
        <v>0</v>
      </c>
      <c r="K334" s="80"/>
      <c r="L334" s="81"/>
      <c r="M334" s="82">
        <v>0</v>
      </c>
      <c r="N334" s="72" t="s">
        <v>116</v>
      </c>
      <c r="O334" s="64" t="s">
        <v>671</v>
      </c>
    </row>
    <row r="335" spans="1:15" ht="20.25" customHeight="1">
      <c r="A335" s="63">
        <v>329</v>
      </c>
      <c r="B335" s="63">
        <v>1</v>
      </c>
      <c r="C335" s="62" t="s">
        <v>55</v>
      </c>
      <c r="D335" s="65" t="s">
        <v>672</v>
      </c>
      <c r="E335" s="66">
        <v>7926.9182374032198</v>
      </c>
      <c r="F335" s="66">
        <v>2291.9103289058799</v>
      </c>
      <c r="G335" s="66">
        <v>5282.5751140205275</v>
      </c>
      <c r="H335" s="66">
        <v>7574.4854429264069</v>
      </c>
      <c r="I335" s="67" t="s">
        <v>91</v>
      </c>
      <c r="J335" s="68">
        <v>6585.7</v>
      </c>
      <c r="K335" s="69">
        <v>6134</v>
      </c>
      <c r="L335" s="70"/>
      <c r="M335" s="71">
        <v>6134</v>
      </c>
      <c r="N335" s="72" t="s">
        <v>97</v>
      </c>
      <c r="O335" s="64" t="s">
        <v>673</v>
      </c>
    </row>
    <row r="336" spans="1:15" ht="20.25" customHeight="1">
      <c r="A336" s="63">
        <v>330</v>
      </c>
      <c r="B336" s="63">
        <v>2</v>
      </c>
      <c r="C336" s="62" t="s">
        <v>55</v>
      </c>
      <c r="D336" s="65" t="s">
        <v>674</v>
      </c>
      <c r="E336" s="66">
        <v>50785.070924901214</v>
      </c>
      <c r="F336" s="66">
        <v>1115.1816921000975</v>
      </c>
      <c r="G336" s="66">
        <v>50299.994582639374</v>
      </c>
      <c r="H336" s="66">
        <v>51415.176274739475</v>
      </c>
      <c r="I336" s="74" t="s">
        <v>91</v>
      </c>
      <c r="J336" s="68">
        <v>42006</v>
      </c>
      <c r="K336" s="69">
        <v>31409</v>
      </c>
      <c r="L336" s="70"/>
      <c r="M336" s="71">
        <v>31409</v>
      </c>
      <c r="N336" s="72" t="s">
        <v>116</v>
      </c>
      <c r="O336" s="64" t="s">
        <v>218</v>
      </c>
    </row>
    <row r="337" spans="1:15" ht="20.25" customHeight="1">
      <c r="A337" s="63">
        <v>331</v>
      </c>
      <c r="B337" s="63">
        <v>3</v>
      </c>
      <c r="C337" s="62" t="s">
        <v>55</v>
      </c>
      <c r="D337" s="65" t="s">
        <v>675</v>
      </c>
      <c r="E337" s="66">
        <v>71691.429072744009</v>
      </c>
      <c r="F337" s="66">
        <v>18281.859682869199</v>
      </c>
      <c r="G337" s="66">
        <v>99295.21582169109</v>
      </c>
      <c r="H337" s="66">
        <v>117577.07550456029</v>
      </c>
      <c r="I337" s="67" t="s">
        <v>91</v>
      </c>
      <c r="J337" s="68">
        <v>114255.47</v>
      </c>
      <c r="K337" s="69">
        <v>58270</v>
      </c>
      <c r="L337" s="70"/>
      <c r="M337" s="71">
        <v>58270</v>
      </c>
      <c r="N337" s="72" t="s">
        <v>97</v>
      </c>
      <c r="O337" s="64" t="s">
        <v>676</v>
      </c>
    </row>
    <row r="338" spans="1:15" ht="20.25" customHeight="1">
      <c r="A338" s="63">
        <v>332</v>
      </c>
      <c r="B338" s="63">
        <v>4</v>
      </c>
      <c r="C338" s="62" t="s">
        <v>55</v>
      </c>
      <c r="D338" s="65" t="s">
        <v>677</v>
      </c>
      <c r="E338" s="66">
        <v>27976.061664474415</v>
      </c>
      <c r="F338" s="66">
        <v>6034.580729513671</v>
      </c>
      <c r="G338" s="66">
        <v>23186.305092266433</v>
      </c>
      <c r="H338" s="66">
        <v>29220.885821780103</v>
      </c>
      <c r="I338" s="74" t="s">
        <v>91</v>
      </c>
      <c r="J338" s="68">
        <v>22294.84</v>
      </c>
      <c r="K338" s="69">
        <v>20023</v>
      </c>
      <c r="L338" s="70"/>
      <c r="M338" s="71">
        <v>20023</v>
      </c>
      <c r="N338" s="72" t="s">
        <v>97</v>
      </c>
      <c r="O338" s="64" t="s">
        <v>678</v>
      </c>
    </row>
    <row r="339" spans="1:15" ht="20.25" customHeight="1">
      <c r="A339" s="63">
        <v>333</v>
      </c>
      <c r="B339" s="63">
        <v>5</v>
      </c>
      <c r="C339" s="62" t="s">
        <v>55</v>
      </c>
      <c r="D339" s="65" t="s">
        <v>679</v>
      </c>
      <c r="E339" s="66">
        <v>26368.409121432433</v>
      </c>
      <c r="F339" s="66">
        <v>10.384488982169424</v>
      </c>
      <c r="G339" s="66">
        <v>25560.728164237717</v>
      </c>
      <c r="H339" s="66">
        <v>25571.112653219887</v>
      </c>
      <c r="I339" s="67" t="s">
        <v>104</v>
      </c>
      <c r="J339" s="68">
        <v>43600</v>
      </c>
      <c r="K339" s="69"/>
      <c r="L339" s="79">
        <v>26368.409121432433</v>
      </c>
      <c r="M339" s="71">
        <v>26368.409121432433</v>
      </c>
      <c r="N339" s="72" t="s">
        <v>116</v>
      </c>
      <c r="O339" s="64" t="s">
        <v>680</v>
      </c>
    </row>
    <row r="340" spans="1:15" ht="20.25" customHeight="1">
      <c r="A340" s="63">
        <v>334</v>
      </c>
      <c r="B340" s="63">
        <v>6</v>
      </c>
      <c r="C340" s="62" t="s">
        <v>55</v>
      </c>
      <c r="D340" s="65" t="s">
        <v>681</v>
      </c>
      <c r="E340" s="66">
        <v>22353.349017710734</v>
      </c>
      <c r="F340" s="66">
        <v>730.54447900969387</v>
      </c>
      <c r="G340" s="66">
        <v>22046.535835322873</v>
      </c>
      <c r="H340" s="66">
        <v>22777.080314332568</v>
      </c>
      <c r="I340" s="74" t="s">
        <v>104</v>
      </c>
      <c r="J340" s="68">
        <v>23359</v>
      </c>
      <c r="K340" s="69"/>
      <c r="L340" s="79">
        <v>22353.349017710734</v>
      </c>
      <c r="M340" s="71">
        <v>22353.349017710734</v>
      </c>
      <c r="N340" s="72" t="s">
        <v>116</v>
      </c>
      <c r="O340" s="64" t="s">
        <v>682</v>
      </c>
    </row>
    <row r="341" spans="1:15" ht="20.25" customHeight="1">
      <c r="A341" s="63">
        <v>335</v>
      </c>
      <c r="B341" s="63">
        <v>7</v>
      </c>
      <c r="C341" s="62" t="s">
        <v>55</v>
      </c>
      <c r="D341" s="65" t="s">
        <v>683</v>
      </c>
      <c r="E341" s="66">
        <v>1702.428174804031</v>
      </c>
      <c r="F341" s="66">
        <v>17.833309769956411</v>
      </c>
      <c r="G341" s="66">
        <v>1905.7611404551251</v>
      </c>
      <c r="H341" s="66">
        <v>1923.5944502250816</v>
      </c>
      <c r="I341" s="67" t="s">
        <v>104</v>
      </c>
      <c r="J341" s="68">
        <v>1000</v>
      </c>
      <c r="K341" s="69"/>
      <c r="L341" s="79">
        <v>1000</v>
      </c>
      <c r="M341" s="71">
        <v>1000</v>
      </c>
      <c r="N341" s="72" t="s">
        <v>97</v>
      </c>
      <c r="O341" s="64" t="s">
        <v>684</v>
      </c>
    </row>
    <row r="342" spans="1:15" ht="20.25" customHeight="1">
      <c r="A342" s="63">
        <v>336</v>
      </c>
      <c r="B342" s="63">
        <v>8</v>
      </c>
      <c r="C342" s="62" t="s">
        <v>55</v>
      </c>
      <c r="D342" s="65" t="s">
        <v>685</v>
      </c>
      <c r="E342" s="66">
        <v>2653.2810994298029</v>
      </c>
      <c r="F342" s="66">
        <v>8.369771256344368</v>
      </c>
      <c r="G342" s="66">
        <v>2583.6981323945529</v>
      </c>
      <c r="H342" s="66">
        <v>2592.0679036508973</v>
      </c>
      <c r="I342" s="74" t="s">
        <v>104</v>
      </c>
      <c r="J342" s="68">
        <v>5</v>
      </c>
      <c r="K342" s="69"/>
      <c r="L342" s="79">
        <v>5</v>
      </c>
      <c r="M342" s="71">
        <v>5</v>
      </c>
      <c r="N342" s="72" t="s">
        <v>116</v>
      </c>
      <c r="O342" s="64" t="s">
        <v>234</v>
      </c>
    </row>
    <row r="343" spans="1:15" ht="20.25" customHeight="1">
      <c r="A343" s="63">
        <v>337</v>
      </c>
      <c r="B343" s="63">
        <v>9</v>
      </c>
      <c r="C343" s="62" t="s">
        <v>55</v>
      </c>
      <c r="D343" s="65" t="s">
        <v>686</v>
      </c>
      <c r="E343" s="66">
        <v>5744.5182117693466</v>
      </c>
      <c r="F343" s="66">
        <v>998.30252518332941</v>
      </c>
      <c r="G343" s="66">
        <v>5170.9379606468128</v>
      </c>
      <c r="H343" s="66">
        <v>6169.2404858301425</v>
      </c>
      <c r="I343" s="67" t="s">
        <v>104</v>
      </c>
      <c r="J343" s="68">
        <v>19513</v>
      </c>
      <c r="K343" s="69"/>
      <c r="L343" s="79">
        <v>5744.5182117693466</v>
      </c>
      <c r="M343" s="71">
        <v>5744.5182117693466</v>
      </c>
      <c r="N343" s="72" t="s">
        <v>116</v>
      </c>
      <c r="O343" s="64" t="s">
        <v>323</v>
      </c>
    </row>
    <row r="344" spans="1:15" ht="20.25" customHeight="1">
      <c r="A344" s="63">
        <v>338</v>
      </c>
      <c r="B344" s="63">
        <v>10</v>
      </c>
      <c r="C344" s="62" t="s">
        <v>55</v>
      </c>
      <c r="D344" s="65" t="s">
        <v>687</v>
      </c>
      <c r="E344" s="66">
        <v>9496.6372399532211</v>
      </c>
      <c r="F344" s="66">
        <v>2572.0585000287501</v>
      </c>
      <c r="G344" s="66">
        <v>6566.0755333562192</v>
      </c>
      <c r="H344" s="66">
        <v>9138.1340333849694</v>
      </c>
      <c r="I344" s="74" t="s">
        <v>91</v>
      </c>
      <c r="J344" s="68">
        <v>6653.03</v>
      </c>
      <c r="K344" s="69">
        <v>6299</v>
      </c>
      <c r="L344" s="70"/>
      <c r="M344" s="71">
        <v>6299</v>
      </c>
      <c r="N344" s="72" t="s">
        <v>97</v>
      </c>
      <c r="O344" s="64" t="s">
        <v>688</v>
      </c>
    </row>
    <row r="345" spans="1:15" ht="20.25" customHeight="1">
      <c r="A345" s="63">
        <v>339</v>
      </c>
      <c r="B345" s="63">
        <v>11</v>
      </c>
      <c r="C345" s="62" t="s">
        <v>55</v>
      </c>
      <c r="D345" s="65" t="s">
        <v>689</v>
      </c>
      <c r="E345" s="66">
        <v>8928.3094543521038</v>
      </c>
      <c r="F345" s="66">
        <v>3222.5806009866606</v>
      </c>
      <c r="G345" s="66">
        <v>7720.784832991616</v>
      </c>
      <c r="H345" s="66">
        <v>10943.365433978277</v>
      </c>
      <c r="I345" s="67" t="s">
        <v>104</v>
      </c>
      <c r="J345" s="68">
        <v>14931</v>
      </c>
      <c r="K345" s="69"/>
      <c r="L345" s="79">
        <v>8928.3094543521038</v>
      </c>
      <c r="M345" s="71">
        <v>8928.3094543521038</v>
      </c>
      <c r="N345" s="72" t="s">
        <v>126</v>
      </c>
      <c r="O345" s="64" t="s">
        <v>187</v>
      </c>
    </row>
    <row r="346" spans="1:15" ht="20.25" customHeight="1">
      <c r="A346" s="63">
        <v>340</v>
      </c>
      <c r="B346" s="63">
        <v>12</v>
      </c>
      <c r="C346" s="62" t="s">
        <v>55</v>
      </c>
      <c r="D346" s="65" t="s">
        <v>690</v>
      </c>
      <c r="E346" s="66">
        <v>24295.990933070618</v>
      </c>
      <c r="F346" s="66">
        <v>1174.1228499432029</v>
      </c>
      <c r="G346" s="66">
        <v>25941.308693425213</v>
      </c>
      <c r="H346" s="66">
        <v>27115.431543368417</v>
      </c>
      <c r="I346" s="74" t="s">
        <v>91</v>
      </c>
      <c r="J346" s="68">
        <v>25579</v>
      </c>
      <c r="K346" s="69">
        <v>18358.7355946877</v>
      </c>
      <c r="L346" s="70"/>
      <c r="M346" s="71">
        <v>18358.7355946877</v>
      </c>
      <c r="N346" s="72" t="s">
        <v>116</v>
      </c>
      <c r="O346" s="64" t="s">
        <v>281</v>
      </c>
    </row>
    <row r="347" spans="1:15" ht="20.25" customHeight="1">
      <c r="A347" s="63">
        <v>341</v>
      </c>
      <c r="B347" s="63">
        <v>13</v>
      </c>
      <c r="C347" s="62" t="s">
        <v>55</v>
      </c>
      <c r="D347" s="65" t="s">
        <v>691</v>
      </c>
      <c r="E347" s="66">
        <v>31222.800573772765</v>
      </c>
      <c r="F347" s="66">
        <v>2211.74005437607</v>
      </c>
      <c r="G347" s="66">
        <v>29143.127706447438</v>
      </c>
      <c r="H347" s="66">
        <v>31354.867760823508</v>
      </c>
      <c r="I347" s="67" t="s">
        <v>91</v>
      </c>
      <c r="J347" s="68">
        <v>25428.240000000002</v>
      </c>
      <c r="K347" s="69">
        <v>24560</v>
      </c>
      <c r="L347" s="70"/>
      <c r="M347" s="71">
        <v>24560</v>
      </c>
      <c r="N347" s="72" t="s">
        <v>97</v>
      </c>
      <c r="O347" s="64" t="s">
        <v>692</v>
      </c>
    </row>
    <row r="348" spans="1:15" ht="20.25" customHeight="1">
      <c r="A348" s="63">
        <v>342</v>
      </c>
      <c r="B348" s="63">
        <v>1</v>
      </c>
      <c r="C348" s="64" t="s">
        <v>54</v>
      </c>
      <c r="D348" s="65" t="s">
        <v>693</v>
      </c>
      <c r="E348" s="84">
        <v>7794.2865808568158</v>
      </c>
      <c r="F348" s="66">
        <v>79.082904499020714</v>
      </c>
      <c r="G348" s="66">
        <v>3065.9900799720681</v>
      </c>
      <c r="H348" s="66">
        <v>3145.0729844710886</v>
      </c>
      <c r="I348" s="74" t="s">
        <v>104</v>
      </c>
      <c r="J348" s="68">
        <v>5872</v>
      </c>
      <c r="K348" s="69"/>
      <c r="L348" s="79">
        <v>5872</v>
      </c>
      <c r="M348" s="71">
        <v>5872</v>
      </c>
      <c r="N348" s="72" t="s">
        <v>97</v>
      </c>
      <c r="O348" s="64" t="s">
        <v>694</v>
      </c>
    </row>
    <row r="349" spans="1:15" ht="20.25" customHeight="1">
      <c r="A349" s="63">
        <v>343</v>
      </c>
      <c r="B349" s="63">
        <v>2</v>
      </c>
      <c r="C349" s="64" t="s">
        <v>54</v>
      </c>
      <c r="D349" s="65" t="s">
        <v>695</v>
      </c>
      <c r="E349" s="84">
        <v>5395.9196574516573</v>
      </c>
      <c r="F349" s="66">
        <v>103.9466689856358</v>
      </c>
      <c r="G349" s="66">
        <v>5597.8518220992109</v>
      </c>
      <c r="H349" s="66">
        <v>5701.7984910848463</v>
      </c>
      <c r="I349" s="67" t="s">
        <v>104</v>
      </c>
      <c r="J349" s="68">
        <v>2383.71</v>
      </c>
      <c r="K349" s="69"/>
      <c r="L349" s="79">
        <v>2383.71</v>
      </c>
      <c r="M349" s="71">
        <v>2383.71</v>
      </c>
      <c r="N349" s="72" t="s">
        <v>116</v>
      </c>
      <c r="O349" s="64" t="s">
        <v>185</v>
      </c>
    </row>
    <row r="350" spans="1:15" ht="20.25" customHeight="1">
      <c r="A350" s="63">
        <v>344</v>
      </c>
      <c r="B350" s="63">
        <v>3</v>
      </c>
      <c r="C350" s="64" t="s">
        <v>54</v>
      </c>
      <c r="D350" s="65" t="s">
        <v>696</v>
      </c>
      <c r="E350" s="84">
        <v>1534.529038387632</v>
      </c>
      <c r="F350" s="66">
        <v>295.23132049884561</v>
      </c>
      <c r="G350" s="66">
        <v>435.81669981603915</v>
      </c>
      <c r="H350" s="66">
        <v>731.04802031488475</v>
      </c>
      <c r="I350" s="74" t="s">
        <v>91</v>
      </c>
      <c r="J350" s="68">
        <v>51888.62</v>
      </c>
      <c r="K350" s="69">
        <v>1019</v>
      </c>
      <c r="L350" s="70"/>
      <c r="M350" s="71">
        <v>1019</v>
      </c>
      <c r="N350" s="72" t="s">
        <v>116</v>
      </c>
      <c r="O350" s="64" t="s">
        <v>216</v>
      </c>
    </row>
    <row r="351" spans="1:15" ht="20.25" customHeight="1">
      <c r="A351" s="63">
        <v>345</v>
      </c>
      <c r="B351" s="63">
        <v>4</v>
      </c>
      <c r="C351" s="64" t="s">
        <v>54</v>
      </c>
      <c r="D351" s="65" t="s">
        <v>697</v>
      </c>
      <c r="E351" s="84">
        <v>475.24277047469099</v>
      </c>
      <c r="F351" s="66">
        <v>0</v>
      </c>
      <c r="G351" s="66">
        <v>242.21256436760706</v>
      </c>
      <c r="H351" s="66">
        <v>242.21256436760706</v>
      </c>
      <c r="I351" s="67" t="s">
        <v>104</v>
      </c>
      <c r="J351" s="68">
        <v>10587.62</v>
      </c>
      <c r="K351" s="69"/>
      <c r="L351" s="79">
        <v>475.24277047469099</v>
      </c>
      <c r="M351" s="71">
        <v>475.24277047469099</v>
      </c>
      <c r="N351" s="72" t="s">
        <v>116</v>
      </c>
      <c r="O351" s="64" t="s">
        <v>444</v>
      </c>
    </row>
    <row r="352" spans="1:15" ht="20.25" customHeight="1">
      <c r="A352" s="63">
        <v>346</v>
      </c>
      <c r="B352" s="63">
        <v>5</v>
      </c>
      <c r="C352" s="64" t="s">
        <v>54</v>
      </c>
      <c r="D352" s="65" t="s">
        <v>698</v>
      </c>
      <c r="E352" s="84">
        <v>65685.665644323817</v>
      </c>
      <c r="F352" s="66">
        <v>77.232714835273597</v>
      </c>
      <c r="G352" s="66">
        <v>44928.650822454721</v>
      </c>
      <c r="H352" s="66">
        <v>45005.883537289992</v>
      </c>
      <c r="I352" s="74" t="s">
        <v>91</v>
      </c>
      <c r="J352" s="68">
        <v>92568.11</v>
      </c>
      <c r="K352" s="69">
        <v>44202.716892535784</v>
      </c>
      <c r="L352" s="70"/>
      <c r="M352" s="71">
        <v>44202.716892535784</v>
      </c>
      <c r="N352" s="72" t="s">
        <v>97</v>
      </c>
      <c r="O352" s="64" t="s">
        <v>699</v>
      </c>
    </row>
    <row r="353" spans="1:15" ht="20.25" customHeight="1">
      <c r="A353" s="63">
        <v>347</v>
      </c>
      <c r="B353" s="63">
        <v>6</v>
      </c>
      <c r="C353" s="64" t="s">
        <v>54</v>
      </c>
      <c r="D353" s="65" t="s">
        <v>700</v>
      </c>
      <c r="E353" s="84">
        <v>11026.199057929647</v>
      </c>
      <c r="F353" s="66">
        <v>448.76321098435642</v>
      </c>
      <c r="G353" s="66">
        <v>7541.0406432086893</v>
      </c>
      <c r="H353" s="66">
        <v>7989.8038541930455</v>
      </c>
      <c r="I353" s="67" t="s">
        <v>91</v>
      </c>
      <c r="J353" s="68">
        <v>16306.14</v>
      </c>
      <c r="K353" s="69">
        <v>7560.4518013891029</v>
      </c>
      <c r="L353" s="70"/>
      <c r="M353" s="71">
        <v>7560.4518013891029</v>
      </c>
      <c r="N353" s="72" t="s">
        <v>97</v>
      </c>
      <c r="O353" s="64" t="s">
        <v>701</v>
      </c>
    </row>
    <row r="354" spans="1:15" ht="20.25" customHeight="1">
      <c r="A354" s="63">
        <v>348</v>
      </c>
      <c r="B354" s="63">
        <v>7</v>
      </c>
      <c r="C354" s="64" t="s">
        <v>54</v>
      </c>
      <c r="D354" s="65" t="s">
        <v>702</v>
      </c>
      <c r="E354" s="84">
        <v>99.190513512111011</v>
      </c>
      <c r="F354" s="66">
        <v>0</v>
      </c>
      <c r="G354" s="66">
        <v>192.08678503964822</v>
      </c>
      <c r="H354" s="66">
        <v>192.08678503964822</v>
      </c>
      <c r="I354" s="74" t="s">
        <v>104</v>
      </c>
      <c r="J354" s="68">
        <v>149.72999999999999</v>
      </c>
      <c r="K354" s="69"/>
      <c r="L354" s="79">
        <v>99.190513512111011</v>
      </c>
      <c r="M354" s="71">
        <v>99.190513512111011</v>
      </c>
      <c r="N354" s="72" t="s">
        <v>116</v>
      </c>
      <c r="O354" s="64" t="s">
        <v>703</v>
      </c>
    </row>
    <row r="355" spans="1:15" ht="20.25" hidden="1" customHeight="1">
      <c r="A355" s="63">
        <v>349</v>
      </c>
      <c r="B355" s="63">
        <v>8</v>
      </c>
      <c r="C355" s="64" t="s">
        <v>54</v>
      </c>
      <c r="D355" s="65" t="s">
        <v>704</v>
      </c>
      <c r="E355" s="84">
        <v>2934.3118772872799</v>
      </c>
      <c r="F355" s="66">
        <v>235.3131622679434</v>
      </c>
      <c r="G355" s="66">
        <v>1385.7680798189788</v>
      </c>
      <c r="H355" s="66">
        <v>1621.0812420869222</v>
      </c>
      <c r="I355" s="67" t="s">
        <v>123</v>
      </c>
      <c r="J355" s="68">
        <v>0</v>
      </c>
      <c r="K355" s="80"/>
      <c r="L355" s="81"/>
      <c r="M355" s="82">
        <v>0</v>
      </c>
      <c r="N355" s="72" t="s">
        <v>116</v>
      </c>
      <c r="O355" s="64" t="s">
        <v>705</v>
      </c>
    </row>
    <row r="356" spans="1:15" ht="20.25" customHeight="1">
      <c r="A356" s="63">
        <v>350</v>
      </c>
      <c r="B356" s="63">
        <v>9</v>
      </c>
      <c r="C356" s="64" t="s">
        <v>54</v>
      </c>
      <c r="D356" s="65" t="s">
        <v>706</v>
      </c>
      <c r="E356" s="84">
        <v>8783.22227737906</v>
      </c>
      <c r="F356" s="66">
        <v>0</v>
      </c>
      <c r="G356" s="66">
        <v>11126.966006490838</v>
      </c>
      <c r="H356" s="66">
        <v>11126.966006490838</v>
      </c>
      <c r="I356" s="74" t="s">
        <v>104</v>
      </c>
      <c r="J356" s="68">
        <v>12071</v>
      </c>
      <c r="K356" s="69"/>
      <c r="L356" s="79">
        <v>8783.22227737906</v>
      </c>
      <c r="M356" s="71">
        <v>8783.22227737906</v>
      </c>
      <c r="N356" s="72" t="s">
        <v>126</v>
      </c>
      <c r="O356" s="64" t="s">
        <v>707</v>
      </c>
    </row>
    <row r="357" spans="1:15" ht="20.25" customHeight="1">
      <c r="A357" s="63">
        <v>351</v>
      </c>
      <c r="B357" s="63">
        <v>10</v>
      </c>
      <c r="C357" s="64" t="s">
        <v>54</v>
      </c>
      <c r="D357" s="65" t="s">
        <v>708</v>
      </c>
      <c r="E357" s="84">
        <v>261.31100317986034</v>
      </c>
      <c r="F357" s="66">
        <v>2.8688512176393299</v>
      </c>
      <c r="G357" s="66">
        <v>187.44735028345141</v>
      </c>
      <c r="H357" s="66">
        <v>190.31620150109075</v>
      </c>
      <c r="I357" s="67" t="s">
        <v>104</v>
      </c>
      <c r="J357" s="68">
        <v>75498.77</v>
      </c>
      <c r="K357" s="69"/>
      <c r="L357" s="79">
        <v>261.31100317986034</v>
      </c>
      <c r="M357" s="71">
        <v>261.31100317986034</v>
      </c>
      <c r="N357" s="72" t="s">
        <v>116</v>
      </c>
      <c r="O357" s="64" t="s">
        <v>709</v>
      </c>
    </row>
    <row r="358" spans="1:15" ht="20.25" customHeight="1">
      <c r="A358" s="63">
        <v>352</v>
      </c>
      <c r="B358" s="63">
        <v>11</v>
      </c>
      <c r="C358" s="64" t="s">
        <v>54</v>
      </c>
      <c r="D358" s="65" t="s">
        <v>710</v>
      </c>
      <c r="E358" s="84">
        <v>89.405956534992541</v>
      </c>
      <c r="F358" s="66">
        <v>0</v>
      </c>
      <c r="G358" s="66">
        <v>44.334060259270203</v>
      </c>
      <c r="H358" s="66">
        <v>44.334060259270203</v>
      </c>
      <c r="I358" s="74" t="s">
        <v>104</v>
      </c>
      <c r="J358" s="68">
        <v>4936</v>
      </c>
      <c r="K358" s="69"/>
      <c r="L358" s="79">
        <v>89.405956534992541</v>
      </c>
      <c r="M358" s="71">
        <v>89.405956534992541</v>
      </c>
      <c r="N358" s="72" t="s">
        <v>116</v>
      </c>
      <c r="O358" s="64" t="s">
        <v>151</v>
      </c>
    </row>
    <row r="359" spans="1:15" ht="20.25" customHeight="1">
      <c r="A359" s="63">
        <v>353</v>
      </c>
      <c r="B359" s="63">
        <v>12</v>
      </c>
      <c r="C359" s="64" t="s">
        <v>54</v>
      </c>
      <c r="D359" s="65" t="s">
        <v>711</v>
      </c>
      <c r="E359" s="84">
        <v>27130.584500349822</v>
      </c>
      <c r="F359" s="66">
        <v>420.04030207203027</v>
      </c>
      <c r="G359" s="66">
        <v>16787.688632648751</v>
      </c>
      <c r="H359" s="66">
        <v>17207.728934720781</v>
      </c>
      <c r="I359" s="67" t="s">
        <v>91</v>
      </c>
      <c r="J359" s="68">
        <v>151641.94</v>
      </c>
      <c r="K359" s="69">
        <v>18160.450533002371</v>
      </c>
      <c r="L359" s="70"/>
      <c r="M359" s="71">
        <v>18160.450533002371</v>
      </c>
      <c r="N359" s="72" t="s">
        <v>126</v>
      </c>
      <c r="O359" s="64" t="s">
        <v>712</v>
      </c>
    </row>
    <row r="360" spans="1:15" ht="20.25" customHeight="1">
      <c r="A360" s="63">
        <v>354</v>
      </c>
      <c r="B360" s="63">
        <v>13</v>
      </c>
      <c r="C360" s="64" t="s">
        <v>54</v>
      </c>
      <c r="D360" s="65" t="s">
        <v>713</v>
      </c>
      <c r="E360" s="84">
        <v>3111.4288342259483</v>
      </c>
      <c r="F360" s="66">
        <v>1079.6497886360169</v>
      </c>
      <c r="G360" s="66">
        <v>4485.957271753864</v>
      </c>
      <c r="H360" s="66">
        <v>5565.6070603898806</v>
      </c>
      <c r="I360" s="74" t="s">
        <v>104</v>
      </c>
      <c r="J360" s="68">
        <v>27568.639999999999</v>
      </c>
      <c r="K360" s="69"/>
      <c r="L360" s="79">
        <v>3111.4288342259483</v>
      </c>
      <c r="M360" s="71">
        <v>3111.4288342259483</v>
      </c>
      <c r="N360" s="72" t="s">
        <v>126</v>
      </c>
      <c r="O360" s="64" t="s">
        <v>714</v>
      </c>
    </row>
    <row r="361" spans="1:15" ht="20.25" customHeight="1">
      <c r="A361" s="63">
        <v>355</v>
      </c>
      <c r="B361" s="63">
        <v>14</v>
      </c>
      <c r="C361" s="64" t="s">
        <v>54</v>
      </c>
      <c r="D361" s="65" t="s">
        <v>715</v>
      </c>
      <c r="E361" s="84">
        <v>2165.1906439764057</v>
      </c>
      <c r="F361" s="66">
        <v>0.70038704396600004</v>
      </c>
      <c r="G361" s="66">
        <v>2198.5081870265703</v>
      </c>
      <c r="H361" s="66">
        <v>2199.2085740705365</v>
      </c>
      <c r="I361" s="67" t="s">
        <v>104</v>
      </c>
      <c r="J361" s="68">
        <v>2384</v>
      </c>
      <c r="K361" s="69"/>
      <c r="L361" s="79">
        <v>2165.1906439764057</v>
      </c>
      <c r="M361" s="71">
        <v>2165.1906439764057</v>
      </c>
      <c r="N361" s="72" t="s">
        <v>116</v>
      </c>
      <c r="O361" s="64" t="s">
        <v>527</v>
      </c>
    </row>
    <row r="362" spans="1:15" ht="20.25" customHeight="1">
      <c r="A362" s="63">
        <v>356</v>
      </c>
      <c r="B362" s="63">
        <v>1</v>
      </c>
      <c r="C362" s="64" t="s">
        <v>56</v>
      </c>
      <c r="D362" s="65" t="s">
        <v>716</v>
      </c>
      <c r="E362" s="84">
        <v>1919.023171677256</v>
      </c>
      <c r="F362" s="66">
        <v>34.747979080836004</v>
      </c>
      <c r="G362" s="66">
        <v>2338.0645703080381</v>
      </c>
      <c r="H362" s="66">
        <v>2372.8125493888742</v>
      </c>
      <c r="I362" s="74" t="s">
        <v>104</v>
      </c>
      <c r="J362" s="68">
        <v>10915.800000000001</v>
      </c>
      <c r="K362" s="69"/>
      <c r="L362" s="79">
        <v>1919.023171677256</v>
      </c>
      <c r="M362" s="71">
        <v>1919.023171677256</v>
      </c>
      <c r="N362" s="72" t="s">
        <v>92</v>
      </c>
      <c r="O362" s="64" t="s">
        <v>717</v>
      </c>
    </row>
    <row r="363" spans="1:15" ht="20.25" customHeight="1">
      <c r="A363" s="63">
        <v>357</v>
      </c>
      <c r="B363" s="63">
        <v>2</v>
      </c>
      <c r="C363" s="64" t="s">
        <v>56</v>
      </c>
      <c r="D363" s="65" t="s">
        <v>718</v>
      </c>
      <c r="E363" s="84">
        <v>132.51645454821806</v>
      </c>
      <c r="F363" s="66">
        <v>0</v>
      </c>
      <c r="G363" s="66">
        <v>130.55474762124399</v>
      </c>
      <c r="H363" s="66">
        <v>130.55474762124399</v>
      </c>
      <c r="I363" s="67" t="s">
        <v>104</v>
      </c>
      <c r="J363" s="68">
        <v>130</v>
      </c>
      <c r="K363" s="69"/>
      <c r="L363" s="79">
        <v>130</v>
      </c>
      <c r="M363" s="71">
        <v>130</v>
      </c>
      <c r="N363" s="72" t="s">
        <v>116</v>
      </c>
      <c r="O363" s="64" t="s">
        <v>682</v>
      </c>
    </row>
    <row r="364" spans="1:15" ht="20.25" customHeight="1">
      <c r="A364" s="63">
        <v>358</v>
      </c>
      <c r="B364" s="63">
        <v>3</v>
      </c>
      <c r="C364" s="64" t="s">
        <v>56</v>
      </c>
      <c r="D364" s="65" t="s">
        <v>719</v>
      </c>
      <c r="E364" s="84">
        <v>65.215153281266396</v>
      </c>
      <c r="F364" s="66">
        <v>0</v>
      </c>
      <c r="G364" s="66">
        <v>22.948920659366895</v>
      </c>
      <c r="H364" s="66">
        <v>22.948920659366895</v>
      </c>
      <c r="I364" s="74" t="s">
        <v>91</v>
      </c>
      <c r="J364" s="68">
        <v>12.69</v>
      </c>
      <c r="K364" s="69">
        <v>11</v>
      </c>
      <c r="L364" s="70"/>
      <c r="M364" s="71">
        <v>11</v>
      </c>
      <c r="N364" s="72" t="s">
        <v>116</v>
      </c>
      <c r="O364" s="64" t="s">
        <v>454</v>
      </c>
    </row>
    <row r="365" spans="1:15" ht="20.25" customHeight="1">
      <c r="A365" s="63">
        <v>359</v>
      </c>
      <c r="B365" s="63">
        <v>4</v>
      </c>
      <c r="C365" s="64" t="s">
        <v>56</v>
      </c>
      <c r="D365" s="65" t="s">
        <v>720</v>
      </c>
      <c r="E365" s="84">
        <v>2059.5280860908742</v>
      </c>
      <c r="F365" s="66">
        <v>262.389635689459</v>
      </c>
      <c r="G365" s="66">
        <v>1282.1472537678719</v>
      </c>
      <c r="H365" s="66">
        <v>1544.536889457331</v>
      </c>
      <c r="I365" s="67" t="s">
        <v>91</v>
      </c>
      <c r="J365" s="68">
        <v>1230.8800000000001</v>
      </c>
      <c r="K365" s="69">
        <v>823</v>
      </c>
      <c r="L365" s="70"/>
      <c r="M365" s="71">
        <v>823</v>
      </c>
      <c r="N365" s="72" t="s">
        <v>126</v>
      </c>
      <c r="O365" s="64" t="s">
        <v>721</v>
      </c>
    </row>
    <row r="366" spans="1:15" ht="20.25" customHeight="1">
      <c r="A366" s="63">
        <v>360</v>
      </c>
      <c r="B366" s="63">
        <v>5</v>
      </c>
      <c r="C366" s="64" t="s">
        <v>56</v>
      </c>
      <c r="D366" s="65" t="s">
        <v>722</v>
      </c>
      <c r="E366" s="84">
        <v>171.94104374288301</v>
      </c>
      <c r="F366" s="66">
        <v>344.43500950472708</v>
      </c>
      <c r="G366" s="66">
        <v>2575.3611210809649</v>
      </c>
      <c r="H366" s="66">
        <v>2919.796130585692</v>
      </c>
      <c r="I366" s="74" t="s">
        <v>104</v>
      </c>
      <c r="J366" s="68">
        <v>182687.96</v>
      </c>
      <c r="K366" s="69"/>
      <c r="L366" s="79">
        <v>171.94104374288301</v>
      </c>
      <c r="M366" s="71">
        <v>171.94104374288301</v>
      </c>
      <c r="N366" s="72" t="s">
        <v>116</v>
      </c>
      <c r="O366" s="64" t="s">
        <v>723</v>
      </c>
    </row>
    <row r="367" spans="1:15" ht="20.25" customHeight="1">
      <c r="A367" s="63">
        <v>361</v>
      </c>
      <c r="B367" s="63">
        <v>7</v>
      </c>
      <c r="C367" s="64" t="s">
        <v>56</v>
      </c>
      <c r="D367" s="65" t="s">
        <v>724</v>
      </c>
      <c r="E367" s="84">
        <v>18659.440782212707</v>
      </c>
      <c r="F367" s="66">
        <v>3205.3604635961369</v>
      </c>
      <c r="G367" s="66">
        <v>14257.602484034087</v>
      </c>
      <c r="H367" s="66">
        <v>17462.962947630225</v>
      </c>
      <c r="I367" s="67" t="s">
        <v>104</v>
      </c>
      <c r="J367" s="68">
        <v>12380</v>
      </c>
      <c r="K367" s="69"/>
      <c r="L367" s="79">
        <v>12380</v>
      </c>
      <c r="M367" s="71">
        <v>12380</v>
      </c>
      <c r="N367" s="72" t="s">
        <v>116</v>
      </c>
      <c r="O367" s="64" t="s">
        <v>387</v>
      </c>
    </row>
    <row r="368" spans="1:15" ht="20.25" hidden="1" customHeight="1">
      <c r="A368" s="63">
        <v>362</v>
      </c>
      <c r="B368" s="63">
        <v>6</v>
      </c>
      <c r="C368" s="64" t="s">
        <v>56</v>
      </c>
      <c r="D368" s="65" t="s">
        <v>725</v>
      </c>
      <c r="E368" s="84">
        <v>2638.8489298972586</v>
      </c>
      <c r="F368" s="66">
        <v>1353.3984271149982</v>
      </c>
      <c r="G368" s="66">
        <v>1713.423341995154</v>
      </c>
      <c r="H368" s="66">
        <v>3066.8217691101522</v>
      </c>
      <c r="I368" s="74" t="s">
        <v>123</v>
      </c>
      <c r="J368" s="68" t="s">
        <v>394</v>
      </c>
      <c r="K368" s="80"/>
      <c r="L368" s="81"/>
      <c r="M368" s="82">
        <v>0</v>
      </c>
      <c r="N368" s="72"/>
      <c r="O368" s="64" t="s">
        <v>394</v>
      </c>
    </row>
    <row r="369" spans="1:15" ht="20.25" customHeight="1">
      <c r="A369" s="63">
        <v>363</v>
      </c>
      <c r="B369" s="63">
        <v>8</v>
      </c>
      <c r="C369" s="64" t="s">
        <v>56</v>
      </c>
      <c r="D369" s="65" t="s">
        <v>726</v>
      </c>
      <c r="E369" s="84">
        <v>24.355749734300002</v>
      </c>
      <c r="F369" s="66">
        <v>0</v>
      </c>
      <c r="G369" s="66">
        <v>439.96783392552004</v>
      </c>
      <c r="H369" s="66">
        <v>439.96783392552004</v>
      </c>
      <c r="I369" s="67" t="s">
        <v>104</v>
      </c>
      <c r="J369" s="68">
        <v>79</v>
      </c>
      <c r="K369" s="69"/>
      <c r="L369" s="79">
        <v>24.355749734300002</v>
      </c>
      <c r="M369" s="71">
        <v>24.355749734300002</v>
      </c>
      <c r="N369" s="72" t="s">
        <v>116</v>
      </c>
      <c r="O369" s="64" t="s">
        <v>149</v>
      </c>
    </row>
    <row r="370" spans="1:15" ht="20.25" customHeight="1">
      <c r="A370" s="63">
        <v>364</v>
      </c>
      <c r="B370" s="63">
        <v>9</v>
      </c>
      <c r="C370" s="64" t="s">
        <v>56</v>
      </c>
      <c r="D370" s="65" t="s">
        <v>727</v>
      </c>
      <c r="E370" s="84">
        <v>8360.8090472080257</v>
      </c>
      <c r="F370" s="66">
        <v>3633.1124915768351</v>
      </c>
      <c r="G370" s="66">
        <v>7538.5301389133847</v>
      </c>
      <c r="H370" s="66">
        <v>11171.64263049022</v>
      </c>
      <c r="I370" s="74" t="s">
        <v>104</v>
      </c>
      <c r="J370" s="68">
        <v>9047</v>
      </c>
      <c r="K370" s="69"/>
      <c r="L370" s="79">
        <v>8360.8090472080257</v>
      </c>
      <c r="M370" s="71">
        <v>8360.8090472080257</v>
      </c>
      <c r="N370" s="72" t="s">
        <v>126</v>
      </c>
      <c r="O370" s="64" t="s">
        <v>243</v>
      </c>
    </row>
    <row r="371" spans="1:15" ht="20.25" customHeight="1">
      <c r="A371" s="63">
        <v>365</v>
      </c>
      <c r="B371" s="63">
        <v>10</v>
      </c>
      <c r="C371" s="64" t="s">
        <v>56</v>
      </c>
      <c r="D371" s="94" t="s">
        <v>728</v>
      </c>
      <c r="E371" s="84">
        <v>7374.0272862905713</v>
      </c>
      <c r="F371" s="66">
        <v>239.646696463951</v>
      </c>
      <c r="G371" s="66">
        <v>7268.3415914409943</v>
      </c>
      <c r="H371" s="66">
        <v>7507.9882879049455</v>
      </c>
      <c r="I371" s="67" t="s">
        <v>91</v>
      </c>
      <c r="J371" s="68">
        <v>12534</v>
      </c>
      <c r="K371" s="69">
        <v>4999</v>
      </c>
      <c r="L371" s="70"/>
      <c r="M371" s="71">
        <v>4999</v>
      </c>
      <c r="N371" s="72" t="s">
        <v>116</v>
      </c>
      <c r="O371" s="64" t="s">
        <v>729</v>
      </c>
    </row>
    <row r="372" spans="1:15" ht="20.25" customHeight="1">
      <c r="A372" s="63">
        <v>366</v>
      </c>
      <c r="B372" s="63">
        <v>1</v>
      </c>
      <c r="C372" s="62" t="s">
        <v>57</v>
      </c>
      <c r="D372" s="65" t="s">
        <v>730</v>
      </c>
      <c r="E372" s="66">
        <v>5881.1427984674147</v>
      </c>
      <c r="F372" s="66">
        <v>302.92703463239002</v>
      </c>
      <c r="G372" s="66">
        <v>5215.0194147589891</v>
      </c>
      <c r="H372" s="66">
        <v>5517.9464493913792</v>
      </c>
      <c r="I372" s="74" t="s">
        <v>91</v>
      </c>
      <c r="J372" s="68">
        <v>17973</v>
      </c>
      <c r="K372" s="69">
        <v>2357</v>
      </c>
      <c r="L372" s="70"/>
      <c r="M372" s="71">
        <v>2357</v>
      </c>
      <c r="N372" s="72" t="s">
        <v>116</v>
      </c>
      <c r="O372" s="64" t="s">
        <v>149</v>
      </c>
    </row>
    <row r="373" spans="1:15" ht="20.25" customHeight="1">
      <c r="A373" s="63">
        <v>367</v>
      </c>
      <c r="B373" s="63">
        <v>3</v>
      </c>
      <c r="C373" s="62" t="s">
        <v>57</v>
      </c>
      <c r="D373" s="65" t="s">
        <v>731</v>
      </c>
      <c r="E373" s="66">
        <v>1706.4701564293459</v>
      </c>
      <c r="F373" s="66">
        <v>919.40404234646928</v>
      </c>
      <c r="G373" s="66">
        <v>904.26133307105499</v>
      </c>
      <c r="H373" s="66">
        <v>1823.6653754175243</v>
      </c>
      <c r="I373" s="67" t="s">
        <v>104</v>
      </c>
      <c r="J373" s="68">
        <v>3916</v>
      </c>
      <c r="K373" s="69"/>
      <c r="L373" s="79">
        <v>1706.4701564293459</v>
      </c>
      <c r="M373" s="71">
        <v>1706.4701564293459</v>
      </c>
      <c r="N373" s="72" t="s">
        <v>126</v>
      </c>
      <c r="O373" s="64" t="s">
        <v>444</v>
      </c>
    </row>
    <row r="374" spans="1:15" ht="20.25" customHeight="1">
      <c r="A374" s="63">
        <v>368</v>
      </c>
      <c r="B374" s="63">
        <v>4</v>
      </c>
      <c r="C374" s="62" t="s">
        <v>57</v>
      </c>
      <c r="D374" s="65" t="s">
        <v>732</v>
      </c>
      <c r="E374" s="66">
        <v>4145.1335801315172</v>
      </c>
      <c r="F374" s="66">
        <v>146.27138757012347</v>
      </c>
      <c r="G374" s="66">
        <v>3737.3557080111195</v>
      </c>
      <c r="H374" s="66">
        <v>3883.6270955812429</v>
      </c>
      <c r="I374" s="74" t="s">
        <v>104</v>
      </c>
      <c r="J374" s="68">
        <v>3751</v>
      </c>
      <c r="K374" s="69"/>
      <c r="L374" s="79">
        <v>3751</v>
      </c>
      <c r="M374" s="71">
        <v>3751</v>
      </c>
      <c r="N374" s="72" t="s">
        <v>116</v>
      </c>
      <c r="O374" s="64" t="s">
        <v>225</v>
      </c>
    </row>
    <row r="375" spans="1:15" ht="20.25" customHeight="1">
      <c r="A375" s="63">
        <v>369</v>
      </c>
      <c r="B375" s="63">
        <v>5</v>
      </c>
      <c r="C375" s="62" t="s">
        <v>57</v>
      </c>
      <c r="D375" s="65" t="s">
        <v>733</v>
      </c>
      <c r="E375" s="66">
        <v>179.62974056051999</v>
      </c>
      <c r="F375" s="66">
        <v>23.135694782502732</v>
      </c>
      <c r="G375" s="66">
        <v>889.17662460356576</v>
      </c>
      <c r="H375" s="66">
        <v>912.31231938606845</v>
      </c>
      <c r="I375" s="67" t="s">
        <v>104</v>
      </c>
      <c r="J375" s="68">
        <v>1416</v>
      </c>
      <c r="K375" s="69"/>
      <c r="L375" s="79">
        <v>179.62974056051999</v>
      </c>
      <c r="M375" s="71">
        <v>179.62974056051999</v>
      </c>
      <c r="N375" s="72" t="s">
        <v>116</v>
      </c>
      <c r="O375" s="64" t="s">
        <v>361</v>
      </c>
    </row>
    <row r="376" spans="1:15" ht="20.25" hidden="1" customHeight="1">
      <c r="A376" s="63">
        <v>370</v>
      </c>
      <c r="B376" s="63">
        <v>2</v>
      </c>
      <c r="C376" s="62" t="s">
        <v>57</v>
      </c>
      <c r="D376" s="65" t="s">
        <v>734</v>
      </c>
      <c r="E376" s="66">
        <v>9.5529406908459986</v>
      </c>
      <c r="F376" s="66">
        <v>0</v>
      </c>
      <c r="G376" s="66">
        <v>10.175486677514</v>
      </c>
      <c r="H376" s="66">
        <v>10.175486677514</v>
      </c>
      <c r="I376" s="74" t="s">
        <v>123</v>
      </c>
      <c r="J376" s="68">
        <v>0</v>
      </c>
      <c r="K376" s="80"/>
      <c r="L376" s="81"/>
      <c r="M376" s="82">
        <v>0</v>
      </c>
      <c r="N376" s="72" t="s">
        <v>116</v>
      </c>
      <c r="O376" s="64" t="s">
        <v>265</v>
      </c>
    </row>
    <row r="377" spans="1:15" ht="20.25" hidden="1" customHeight="1">
      <c r="A377" s="63">
        <v>371</v>
      </c>
      <c r="B377" s="63">
        <v>1</v>
      </c>
      <c r="C377" s="64" t="s">
        <v>58</v>
      </c>
      <c r="D377" s="65" t="s">
        <v>735</v>
      </c>
      <c r="E377" s="84">
        <v>19659.830852926905</v>
      </c>
      <c r="F377" s="66">
        <v>252.68975681093571</v>
      </c>
      <c r="G377" s="66">
        <v>17412.89138630874</v>
      </c>
      <c r="H377" s="66">
        <v>17665.581143119674</v>
      </c>
      <c r="I377" s="67" t="s">
        <v>123</v>
      </c>
      <c r="J377" s="68">
        <v>0</v>
      </c>
      <c r="K377" s="80"/>
      <c r="L377" s="81"/>
      <c r="M377" s="82">
        <v>0</v>
      </c>
      <c r="N377" s="72" t="s">
        <v>116</v>
      </c>
      <c r="O377" s="64" t="s">
        <v>736</v>
      </c>
    </row>
    <row r="378" spans="1:15" ht="20.25" customHeight="1">
      <c r="A378" s="63">
        <v>372</v>
      </c>
      <c r="B378" s="63">
        <v>3</v>
      </c>
      <c r="C378" s="64" t="s">
        <v>58</v>
      </c>
      <c r="D378" s="65" t="s">
        <v>737</v>
      </c>
      <c r="E378" s="84">
        <v>1083.6957029573994</v>
      </c>
      <c r="F378" s="66">
        <v>7.0245155383625448</v>
      </c>
      <c r="G378" s="66">
        <v>1195.3175587328631</v>
      </c>
      <c r="H378" s="66">
        <v>1202.3420742712256</v>
      </c>
      <c r="I378" s="74" t="s">
        <v>91</v>
      </c>
      <c r="J378" s="68">
        <v>1206.7</v>
      </c>
      <c r="K378" s="69">
        <v>963.63144703811145</v>
      </c>
      <c r="L378" s="70"/>
      <c r="M378" s="71">
        <v>963.63144703811145</v>
      </c>
      <c r="N378" s="72" t="s">
        <v>97</v>
      </c>
      <c r="O378" s="64" t="s">
        <v>738</v>
      </c>
    </row>
    <row r="379" spans="1:15" ht="20.25" customHeight="1">
      <c r="A379" s="63">
        <v>373</v>
      </c>
      <c r="B379" s="63">
        <v>2</v>
      </c>
      <c r="C379" s="64" t="s">
        <v>58</v>
      </c>
      <c r="D379" s="65" t="s">
        <v>739</v>
      </c>
      <c r="E379" s="84">
        <v>1555.158245824789</v>
      </c>
      <c r="F379" s="66">
        <v>26.780768568848</v>
      </c>
      <c r="G379" s="66">
        <v>1002.4952489840526</v>
      </c>
      <c r="H379" s="66">
        <v>1029.2760175529006</v>
      </c>
      <c r="I379" s="67" t="s">
        <v>104</v>
      </c>
      <c r="J379" s="68">
        <v>1619</v>
      </c>
      <c r="K379" s="69"/>
      <c r="L379" s="79">
        <v>1555.158245824789</v>
      </c>
      <c r="M379" s="71">
        <v>1555.158245824789</v>
      </c>
      <c r="N379" s="72" t="s">
        <v>116</v>
      </c>
      <c r="O379" s="64" t="s">
        <v>740</v>
      </c>
    </row>
    <row r="380" spans="1:15" ht="20.25" customHeight="1">
      <c r="A380" s="63">
        <v>374</v>
      </c>
      <c r="B380" s="63">
        <v>4</v>
      </c>
      <c r="C380" s="64" t="s">
        <v>58</v>
      </c>
      <c r="D380" s="65" t="s">
        <v>741</v>
      </c>
      <c r="E380" s="84">
        <v>3829.8114363590885</v>
      </c>
      <c r="F380" s="66">
        <v>7.4606419502300003</v>
      </c>
      <c r="G380" s="66">
        <v>3955.7176091133938</v>
      </c>
      <c r="H380" s="66">
        <v>3963.178251063624</v>
      </c>
      <c r="I380" s="74" t="s">
        <v>91</v>
      </c>
      <c r="J380" s="68">
        <v>4221.0999999999995</v>
      </c>
      <c r="K380" s="69">
        <v>3727.182486385143</v>
      </c>
      <c r="L380" s="70"/>
      <c r="M380" s="71">
        <v>3727.182486385143</v>
      </c>
      <c r="N380" s="72" t="s">
        <v>92</v>
      </c>
      <c r="O380" s="64" t="s">
        <v>742</v>
      </c>
    </row>
    <row r="381" spans="1:15" ht="20.25" hidden="1" customHeight="1">
      <c r="A381" s="63">
        <v>375</v>
      </c>
      <c r="B381" s="63">
        <v>5</v>
      </c>
      <c r="C381" s="64" t="s">
        <v>58</v>
      </c>
      <c r="D381" s="65" t="s">
        <v>743</v>
      </c>
      <c r="E381" s="84">
        <v>18.044060688986001</v>
      </c>
      <c r="F381" s="66">
        <v>0</v>
      </c>
      <c r="G381" s="66">
        <v>51.742755641226111</v>
      </c>
      <c r="H381" s="66">
        <v>51.742755641226111</v>
      </c>
      <c r="I381" s="67" t="s">
        <v>123</v>
      </c>
      <c r="J381" s="68">
        <v>0</v>
      </c>
      <c r="K381" s="80"/>
      <c r="L381" s="81"/>
      <c r="M381" s="82">
        <v>0</v>
      </c>
      <c r="N381" s="72" t="s">
        <v>116</v>
      </c>
      <c r="O381" s="64" t="s">
        <v>744</v>
      </c>
    </row>
    <row r="382" spans="1:15" ht="20.25" hidden="1" customHeight="1">
      <c r="A382" s="63">
        <v>376</v>
      </c>
      <c r="B382" s="63">
        <v>6</v>
      </c>
      <c r="C382" s="64" t="s">
        <v>58</v>
      </c>
      <c r="D382" s="65" t="s">
        <v>745</v>
      </c>
      <c r="E382" s="84"/>
      <c r="F382" s="66">
        <v>0</v>
      </c>
      <c r="G382" s="66">
        <v>0</v>
      </c>
      <c r="H382" s="66">
        <v>0</v>
      </c>
      <c r="I382" s="74" t="s">
        <v>123</v>
      </c>
      <c r="J382" s="68">
        <v>0</v>
      </c>
      <c r="K382" s="80"/>
      <c r="L382" s="81"/>
      <c r="M382" s="82">
        <v>0</v>
      </c>
      <c r="N382" s="72" t="s">
        <v>116</v>
      </c>
      <c r="O382" s="64" t="s">
        <v>744</v>
      </c>
    </row>
    <row r="383" spans="1:15" ht="20.25" customHeight="1">
      <c r="A383" s="63">
        <v>377</v>
      </c>
      <c r="B383" s="63">
        <v>7</v>
      </c>
      <c r="C383" s="64" t="s">
        <v>58</v>
      </c>
      <c r="D383" s="65" t="s">
        <v>746</v>
      </c>
      <c r="E383" s="84">
        <v>249.08767930159982</v>
      </c>
      <c r="F383" s="66">
        <v>0</v>
      </c>
      <c r="G383" s="66">
        <v>279.33739889332037</v>
      </c>
      <c r="H383" s="66">
        <v>279.33739889332037</v>
      </c>
      <c r="I383" s="67" t="s">
        <v>104</v>
      </c>
      <c r="J383" s="68">
        <v>22093</v>
      </c>
      <c r="K383" s="69"/>
      <c r="L383" s="79">
        <v>249.08767930159982</v>
      </c>
      <c r="M383" s="71">
        <v>249.08767930159982</v>
      </c>
      <c r="N383" s="72" t="s">
        <v>116</v>
      </c>
      <c r="O383" s="64" t="s">
        <v>321</v>
      </c>
    </row>
    <row r="384" spans="1:15" ht="20.25" customHeight="1">
      <c r="A384" s="63">
        <v>378</v>
      </c>
      <c r="B384" s="63">
        <v>8</v>
      </c>
      <c r="C384" s="64" t="s">
        <v>58</v>
      </c>
      <c r="D384" s="65" t="s">
        <v>747</v>
      </c>
      <c r="E384" s="84">
        <v>79.044381817767984</v>
      </c>
      <c r="F384" s="66">
        <v>0</v>
      </c>
      <c r="G384" s="66">
        <v>38.881655992396993</v>
      </c>
      <c r="H384" s="66">
        <v>38.881655992396993</v>
      </c>
      <c r="I384" s="74" t="s">
        <v>104</v>
      </c>
      <c r="J384" s="68">
        <v>180</v>
      </c>
      <c r="K384" s="69"/>
      <c r="L384" s="79">
        <v>79.044381817767984</v>
      </c>
      <c r="M384" s="71">
        <v>79.044381817767984</v>
      </c>
      <c r="N384" s="72" t="s">
        <v>116</v>
      </c>
      <c r="O384" s="64" t="s">
        <v>748</v>
      </c>
    </row>
    <row r="385" spans="1:15" ht="20.25" customHeight="1">
      <c r="A385" s="63">
        <v>379</v>
      </c>
      <c r="B385" s="63">
        <v>9</v>
      </c>
      <c r="C385" s="64" t="s">
        <v>58</v>
      </c>
      <c r="D385" s="65" t="s">
        <v>749</v>
      </c>
      <c r="E385" s="84">
        <v>2135.7595373827148</v>
      </c>
      <c r="F385" s="66">
        <v>0</v>
      </c>
      <c r="G385" s="66">
        <v>1791.8837761926777</v>
      </c>
      <c r="H385" s="66">
        <v>1791.8837761926777</v>
      </c>
      <c r="I385" s="67" t="s">
        <v>104</v>
      </c>
      <c r="J385" s="68">
        <v>1271.1400000000001</v>
      </c>
      <c r="K385" s="69"/>
      <c r="L385" s="79">
        <v>1271.1400000000001</v>
      </c>
      <c r="M385" s="71">
        <v>1271.1400000000001</v>
      </c>
      <c r="N385" s="72" t="s">
        <v>116</v>
      </c>
      <c r="O385" s="64" t="s">
        <v>444</v>
      </c>
    </row>
    <row r="386" spans="1:15" ht="20.25" hidden="1" customHeight="1">
      <c r="A386" s="63">
        <v>380</v>
      </c>
      <c r="B386" s="63">
        <v>10</v>
      </c>
      <c r="C386" s="64" t="s">
        <v>58</v>
      </c>
      <c r="D386" s="65" t="s">
        <v>750</v>
      </c>
      <c r="E386" s="84">
        <v>54.025234779304995</v>
      </c>
      <c r="F386" s="66">
        <v>0</v>
      </c>
      <c r="G386" s="66">
        <v>0</v>
      </c>
      <c r="H386" s="66">
        <v>0</v>
      </c>
      <c r="I386" s="74" t="s">
        <v>123</v>
      </c>
      <c r="J386" s="68">
        <v>0</v>
      </c>
      <c r="K386" s="80"/>
      <c r="L386" s="81"/>
      <c r="M386" s="82">
        <v>0</v>
      </c>
      <c r="N386" s="72" t="s">
        <v>116</v>
      </c>
      <c r="O386" s="64" t="s">
        <v>647</v>
      </c>
    </row>
    <row r="387" spans="1:15" ht="20.25" hidden="1" customHeight="1">
      <c r="A387" s="63">
        <v>381</v>
      </c>
      <c r="B387" s="63">
        <v>11</v>
      </c>
      <c r="C387" s="64" t="s">
        <v>58</v>
      </c>
      <c r="D387" s="65" t="s">
        <v>751</v>
      </c>
      <c r="E387" s="84">
        <v>957.04143007417963</v>
      </c>
      <c r="F387" s="66">
        <v>3.8097773868712187E-2</v>
      </c>
      <c r="G387" s="66">
        <v>533.08821985576094</v>
      </c>
      <c r="H387" s="66">
        <v>533.12631762962963</v>
      </c>
      <c r="I387" s="67" t="s">
        <v>123</v>
      </c>
      <c r="J387" s="68">
        <v>0</v>
      </c>
      <c r="K387" s="80"/>
      <c r="L387" s="81"/>
      <c r="M387" s="82">
        <v>0</v>
      </c>
      <c r="N387" s="72" t="s">
        <v>116</v>
      </c>
      <c r="O387" s="64" t="s">
        <v>752</v>
      </c>
    </row>
    <row r="388" spans="1:15" ht="20.25" customHeight="1">
      <c r="A388" s="63">
        <v>382</v>
      </c>
      <c r="B388" s="63">
        <v>12</v>
      </c>
      <c r="C388" s="64" t="s">
        <v>58</v>
      </c>
      <c r="D388" s="65" t="s">
        <v>753</v>
      </c>
      <c r="E388" s="84">
        <v>7171.5795642407129</v>
      </c>
      <c r="F388" s="66">
        <v>0</v>
      </c>
      <c r="G388" s="66">
        <v>5172.5468649668801</v>
      </c>
      <c r="H388" s="66">
        <v>5172.5468649668801</v>
      </c>
      <c r="I388" s="74" t="s">
        <v>104</v>
      </c>
      <c r="J388" s="68">
        <v>4500</v>
      </c>
      <c r="K388" s="69"/>
      <c r="L388" s="79">
        <v>4500</v>
      </c>
      <c r="M388" s="71">
        <v>4500</v>
      </c>
      <c r="N388" s="72" t="s">
        <v>116</v>
      </c>
      <c r="O388" s="64" t="s">
        <v>647</v>
      </c>
    </row>
    <row r="389" spans="1:15" ht="20.25" customHeight="1">
      <c r="A389" s="63">
        <v>383</v>
      </c>
      <c r="B389" s="63">
        <v>13</v>
      </c>
      <c r="C389" s="64" t="s">
        <v>58</v>
      </c>
      <c r="D389" s="65" t="s">
        <v>754</v>
      </c>
      <c r="E389" s="84">
        <v>5346.950586863758</v>
      </c>
      <c r="F389" s="66">
        <v>2.04250288552924</v>
      </c>
      <c r="G389" s="66">
        <v>3178.6543844515459</v>
      </c>
      <c r="H389" s="66">
        <v>3180.6968873370752</v>
      </c>
      <c r="I389" s="67" t="s">
        <v>91</v>
      </c>
      <c r="J389" s="68">
        <v>3818.91</v>
      </c>
      <c r="K389" s="69">
        <v>3572.5273736047202</v>
      </c>
      <c r="L389" s="70"/>
      <c r="M389" s="71">
        <v>3572.5273736047202</v>
      </c>
      <c r="N389" s="72" t="s">
        <v>97</v>
      </c>
      <c r="O389" s="64" t="s">
        <v>755</v>
      </c>
    </row>
    <row r="390" spans="1:15" ht="20.25" hidden="1" customHeight="1">
      <c r="A390" s="63">
        <v>384</v>
      </c>
      <c r="B390" s="63">
        <v>14</v>
      </c>
      <c r="C390" s="64" t="s">
        <v>58</v>
      </c>
      <c r="D390" s="65" t="s">
        <v>756</v>
      </c>
      <c r="E390" s="84">
        <v>2191.5111952768452</v>
      </c>
      <c r="F390" s="66">
        <v>0</v>
      </c>
      <c r="G390" s="66">
        <v>2436.7366164953123</v>
      </c>
      <c r="H390" s="66">
        <v>2436.7366164953123</v>
      </c>
      <c r="I390" s="74" t="s">
        <v>123</v>
      </c>
      <c r="J390" s="68">
        <v>0</v>
      </c>
      <c r="K390" s="80"/>
      <c r="L390" s="81"/>
      <c r="M390" s="82">
        <v>0</v>
      </c>
      <c r="N390" s="72" t="s">
        <v>116</v>
      </c>
      <c r="O390" s="64" t="s">
        <v>757</v>
      </c>
    </row>
    <row r="391" spans="1:15" ht="20.25" hidden="1" customHeight="1">
      <c r="A391" s="63">
        <v>385</v>
      </c>
      <c r="B391" s="63">
        <v>15</v>
      </c>
      <c r="C391" s="64" t="s">
        <v>58</v>
      </c>
      <c r="D391" s="65" t="s">
        <v>758</v>
      </c>
      <c r="E391" s="84">
        <v>2711.837824758496</v>
      </c>
      <c r="F391" s="66">
        <v>64.224537442950961</v>
      </c>
      <c r="G391" s="66">
        <v>2358.1488749268233</v>
      </c>
      <c r="H391" s="66">
        <v>2422.3734123697741</v>
      </c>
      <c r="I391" s="67" t="s">
        <v>123</v>
      </c>
      <c r="J391" s="68">
        <v>0</v>
      </c>
      <c r="K391" s="80"/>
      <c r="L391" s="81"/>
      <c r="M391" s="82">
        <v>0</v>
      </c>
      <c r="N391" s="72" t="s">
        <v>116</v>
      </c>
      <c r="O391" s="64" t="s">
        <v>759</v>
      </c>
    </row>
    <row r="392" spans="1:15" ht="20.25" customHeight="1">
      <c r="A392" s="63">
        <v>386</v>
      </c>
      <c r="B392" s="63">
        <v>1</v>
      </c>
      <c r="C392" s="64" t="s">
        <v>59</v>
      </c>
      <c r="D392" s="65" t="s">
        <v>760</v>
      </c>
      <c r="E392" s="84">
        <v>23809.278842771804</v>
      </c>
      <c r="F392" s="66">
        <v>509.63678997294244</v>
      </c>
      <c r="G392" s="66">
        <v>25158.85248345296</v>
      </c>
      <c r="H392" s="66">
        <v>25668.489273425901</v>
      </c>
      <c r="I392" s="74" t="s">
        <v>104</v>
      </c>
      <c r="J392" s="68">
        <v>101817.53</v>
      </c>
      <c r="K392" s="69"/>
      <c r="L392" s="79">
        <v>23809.278842771804</v>
      </c>
      <c r="M392" s="71">
        <v>23809.278842771804</v>
      </c>
      <c r="N392" s="72" t="s">
        <v>126</v>
      </c>
      <c r="O392" s="64" t="s">
        <v>712</v>
      </c>
    </row>
    <row r="393" spans="1:15" ht="20.25" customHeight="1">
      <c r="A393" s="63">
        <v>387</v>
      </c>
      <c r="B393" s="63">
        <v>2</v>
      </c>
      <c r="C393" s="64" t="s">
        <v>59</v>
      </c>
      <c r="D393" s="65" t="s">
        <v>761</v>
      </c>
      <c r="E393" s="84">
        <v>426.29707402534842</v>
      </c>
      <c r="F393" s="66">
        <v>0</v>
      </c>
      <c r="G393" s="66">
        <v>488.73402553827543</v>
      </c>
      <c r="H393" s="66">
        <v>488.73402553827543</v>
      </c>
      <c r="I393" s="67" t="s">
        <v>104</v>
      </c>
      <c r="J393" s="68">
        <v>516</v>
      </c>
      <c r="K393" s="69"/>
      <c r="L393" s="79">
        <v>426.29707402534842</v>
      </c>
      <c r="M393" s="71">
        <v>426.29707402534842</v>
      </c>
      <c r="N393" s="72" t="s">
        <v>116</v>
      </c>
      <c r="O393" s="64" t="s">
        <v>614</v>
      </c>
    </row>
    <row r="394" spans="1:15" ht="20.25" hidden="1" customHeight="1">
      <c r="A394" s="63">
        <v>388</v>
      </c>
      <c r="B394" s="63">
        <v>3</v>
      </c>
      <c r="C394" s="64" t="s">
        <v>59</v>
      </c>
      <c r="D394" s="65" t="s">
        <v>762</v>
      </c>
      <c r="E394" s="84"/>
      <c r="F394" s="66">
        <v>0</v>
      </c>
      <c r="G394" s="66">
        <v>0</v>
      </c>
      <c r="H394" s="66">
        <v>0</v>
      </c>
      <c r="I394" s="74" t="s">
        <v>123</v>
      </c>
      <c r="J394" s="68">
        <v>0</v>
      </c>
      <c r="K394" s="80"/>
      <c r="L394" s="81"/>
      <c r="M394" s="82">
        <v>0</v>
      </c>
      <c r="N394" s="72" t="s">
        <v>116</v>
      </c>
      <c r="O394" s="64" t="s">
        <v>763</v>
      </c>
    </row>
    <row r="395" spans="1:15" ht="20.25" customHeight="1">
      <c r="A395" s="63">
        <v>389</v>
      </c>
      <c r="B395" s="63">
        <v>4</v>
      </c>
      <c r="C395" s="64" t="s">
        <v>59</v>
      </c>
      <c r="D395" s="65" t="s">
        <v>764</v>
      </c>
      <c r="E395" s="66">
        <v>3622.9238781080912</v>
      </c>
      <c r="F395" s="66">
        <v>97.901630269658128</v>
      </c>
      <c r="G395" s="66">
        <v>5090.1917769976208</v>
      </c>
      <c r="H395" s="66">
        <v>5188.093407267279</v>
      </c>
      <c r="I395" s="67" t="s">
        <v>104</v>
      </c>
      <c r="J395" s="68">
        <v>76216</v>
      </c>
      <c r="K395" s="69"/>
      <c r="L395" s="79">
        <v>3622.9238781080912</v>
      </c>
      <c r="M395" s="71">
        <v>3622.9238781080912</v>
      </c>
      <c r="N395" s="72" t="s">
        <v>116</v>
      </c>
      <c r="O395" s="64" t="s">
        <v>432</v>
      </c>
    </row>
    <row r="396" spans="1:15" ht="20.25" customHeight="1">
      <c r="A396" s="63">
        <v>390</v>
      </c>
      <c r="B396" s="63">
        <v>5</v>
      </c>
      <c r="C396" s="64" t="s">
        <v>59</v>
      </c>
      <c r="D396" s="65" t="s">
        <v>765</v>
      </c>
      <c r="E396" s="66">
        <v>8578.8331977954495</v>
      </c>
      <c r="F396" s="66">
        <v>173.02766494704272</v>
      </c>
      <c r="G396" s="66">
        <v>9276.0254299593416</v>
      </c>
      <c r="H396" s="66">
        <v>9449.053094906385</v>
      </c>
      <c r="I396" s="74" t="s">
        <v>104</v>
      </c>
      <c r="J396" s="68">
        <v>12500</v>
      </c>
      <c r="K396" s="69"/>
      <c r="L396" s="79">
        <v>8578.8331977954495</v>
      </c>
      <c r="M396" s="71">
        <v>8578.8331977954495</v>
      </c>
      <c r="N396" s="72" t="s">
        <v>116</v>
      </c>
      <c r="O396" s="64" t="s">
        <v>161</v>
      </c>
    </row>
    <row r="397" spans="1:15" ht="20.25" customHeight="1">
      <c r="A397" s="63">
        <v>391</v>
      </c>
      <c r="B397" s="63">
        <v>6</v>
      </c>
      <c r="C397" s="64" t="s">
        <v>59</v>
      </c>
      <c r="D397" s="65" t="s">
        <v>766</v>
      </c>
      <c r="E397" s="66">
        <v>410.74972821906823</v>
      </c>
      <c r="F397" s="66">
        <v>7.6949366499600005E-2</v>
      </c>
      <c r="G397" s="66">
        <v>299.38378349487459</v>
      </c>
      <c r="H397" s="66">
        <v>299.4607328613742</v>
      </c>
      <c r="I397" s="67" t="s">
        <v>91</v>
      </c>
      <c r="J397" s="68">
        <v>427</v>
      </c>
      <c r="K397" s="69">
        <v>97</v>
      </c>
      <c r="L397" s="70"/>
      <c r="M397" s="71">
        <v>97</v>
      </c>
      <c r="N397" s="72" t="s">
        <v>116</v>
      </c>
      <c r="O397" s="64" t="s">
        <v>243</v>
      </c>
    </row>
    <row r="398" spans="1:15" ht="20.25" customHeight="1">
      <c r="A398" s="63">
        <v>392</v>
      </c>
      <c r="B398" s="63">
        <v>7</v>
      </c>
      <c r="C398" s="64" t="s">
        <v>59</v>
      </c>
      <c r="D398" s="65" t="s">
        <v>767</v>
      </c>
      <c r="E398" s="66">
        <v>6056.8078699316975</v>
      </c>
      <c r="F398" s="66">
        <v>92.470874977548775</v>
      </c>
      <c r="G398" s="66">
        <v>4713.6554098817169</v>
      </c>
      <c r="H398" s="66">
        <v>4806.126284859266</v>
      </c>
      <c r="I398" s="74" t="s">
        <v>91</v>
      </c>
      <c r="J398" s="68">
        <v>4835.2700000000004</v>
      </c>
      <c r="K398" s="69">
        <v>4373</v>
      </c>
      <c r="L398" s="75"/>
      <c r="M398" s="71">
        <v>4373</v>
      </c>
      <c r="N398" s="72" t="s">
        <v>97</v>
      </c>
      <c r="O398" s="76" t="s">
        <v>768</v>
      </c>
    </row>
    <row r="399" spans="1:15" ht="20.25" customHeight="1">
      <c r="A399" s="63">
        <v>393</v>
      </c>
      <c r="B399" s="63">
        <v>8</v>
      </c>
      <c r="C399" s="64" t="s">
        <v>59</v>
      </c>
      <c r="D399" s="65" t="s">
        <v>769</v>
      </c>
      <c r="E399" s="66">
        <v>6683.5709048576873</v>
      </c>
      <c r="F399" s="66">
        <v>137.50737820964397</v>
      </c>
      <c r="G399" s="66">
        <v>7630.5138785729096</v>
      </c>
      <c r="H399" s="66">
        <v>7768.0212567825538</v>
      </c>
      <c r="I399" s="67" t="s">
        <v>91</v>
      </c>
      <c r="J399" s="68">
        <v>154494</v>
      </c>
      <c r="K399" s="69">
        <v>6667.3786790000004</v>
      </c>
      <c r="L399" s="70"/>
      <c r="M399" s="71">
        <v>6667.3786790000004</v>
      </c>
      <c r="N399" s="72" t="s">
        <v>126</v>
      </c>
      <c r="O399" s="64" t="s">
        <v>770</v>
      </c>
    </row>
    <row r="400" spans="1:15" ht="20.25" customHeight="1">
      <c r="A400" s="63">
        <v>394</v>
      </c>
      <c r="B400" s="63">
        <v>9</v>
      </c>
      <c r="C400" s="64" t="s">
        <v>59</v>
      </c>
      <c r="D400" s="65" t="s">
        <v>771</v>
      </c>
      <c r="E400" s="66">
        <v>27413.091240013317</v>
      </c>
      <c r="F400" s="66">
        <v>2.2545990267999998</v>
      </c>
      <c r="G400" s="66">
        <v>28540.441033194431</v>
      </c>
      <c r="H400" s="66">
        <v>28542.695632221232</v>
      </c>
      <c r="I400" s="74" t="s">
        <v>91</v>
      </c>
      <c r="J400" s="68">
        <v>59956</v>
      </c>
      <c r="K400" s="69">
        <v>26308</v>
      </c>
      <c r="L400" s="70"/>
      <c r="M400" s="71">
        <v>26308</v>
      </c>
      <c r="N400" s="72" t="s">
        <v>116</v>
      </c>
      <c r="O400" s="64" t="s">
        <v>155</v>
      </c>
    </row>
    <row r="401" spans="1:15" ht="20.25" customHeight="1">
      <c r="A401" s="63">
        <v>395</v>
      </c>
      <c r="B401" s="63">
        <v>10</v>
      </c>
      <c r="C401" s="64" t="s">
        <v>59</v>
      </c>
      <c r="D401" s="65" t="s">
        <v>772</v>
      </c>
      <c r="E401" s="66">
        <v>15653.907115466192</v>
      </c>
      <c r="F401" s="66">
        <v>1629.3519575128046</v>
      </c>
      <c r="G401" s="66">
        <v>16333.861083694241</v>
      </c>
      <c r="H401" s="66">
        <v>17963.213041207044</v>
      </c>
      <c r="I401" s="67" t="s">
        <v>91</v>
      </c>
      <c r="J401" s="68">
        <v>15300.89</v>
      </c>
      <c r="K401" s="69">
        <v>11737</v>
      </c>
      <c r="L401" s="75"/>
      <c r="M401" s="71">
        <v>11737</v>
      </c>
      <c r="N401" s="72" t="s">
        <v>97</v>
      </c>
      <c r="O401" s="64" t="s">
        <v>773</v>
      </c>
    </row>
    <row r="402" spans="1:15" ht="20.25" customHeight="1">
      <c r="A402" s="63">
        <v>396</v>
      </c>
      <c r="B402" s="63">
        <v>11</v>
      </c>
      <c r="C402" s="64" t="s">
        <v>59</v>
      </c>
      <c r="D402" s="65" t="s">
        <v>774</v>
      </c>
      <c r="E402" s="66">
        <v>13822.844059525192</v>
      </c>
      <c r="F402" s="66">
        <v>33.046197479786109</v>
      </c>
      <c r="G402" s="66">
        <v>15247.538784043974</v>
      </c>
      <c r="H402" s="66">
        <v>15280.58498152376</v>
      </c>
      <c r="I402" s="74" t="s">
        <v>91</v>
      </c>
      <c r="J402" s="68">
        <v>27537</v>
      </c>
      <c r="K402" s="69">
        <v>11075.97471</v>
      </c>
      <c r="L402" s="70"/>
      <c r="M402" s="71">
        <v>11075.97471</v>
      </c>
      <c r="N402" s="72" t="s">
        <v>116</v>
      </c>
      <c r="O402" s="64" t="s">
        <v>149</v>
      </c>
    </row>
    <row r="403" spans="1:15" ht="20.25" customHeight="1">
      <c r="A403" s="63">
        <v>397</v>
      </c>
      <c r="B403" s="63">
        <v>12</v>
      </c>
      <c r="C403" s="64" t="s">
        <v>59</v>
      </c>
      <c r="D403" s="65" t="s">
        <v>775</v>
      </c>
      <c r="E403" s="66">
        <v>1317.8582057669164</v>
      </c>
      <c r="F403" s="66">
        <v>25.743125492506479</v>
      </c>
      <c r="G403" s="66">
        <v>1642.9981695731465</v>
      </c>
      <c r="H403" s="66">
        <v>1668.741295065653</v>
      </c>
      <c r="I403" s="67" t="s">
        <v>104</v>
      </c>
      <c r="J403" s="68">
        <v>5113</v>
      </c>
      <c r="K403" s="69"/>
      <c r="L403" s="79">
        <v>1317.8582057669164</v>
      </c>
      <c r="M403" s="71">
        <v>1317.8582057669164</v>
      </c>
      <c r="N403" s="72" t="s">
        <v>126</v>
      </c>
      <c r="O403" s="64" t="s">
        <v>776</v>
      </c>
    </row>
    <row r="404" spans="1:15" ht="20.25" customHeight="1">
      <c r="A404" s="63">
        <v>398</v>
      </c>
      <c r="B404" s="63">
        <v>13</v>
      </c>
      <c r="C404" s="64" t="s">
        <v>59</v>
      </c>
      <c r="D404" s="65" t="s">
        <v>777</v>
      </c>
      <c r="E404" s="66">
        <v>9031.949077692112</v>
      </c>
      <c r="F404" s="66">
        <v>689.00475802215067</v>
      </c>
      <c r="G404" s="66">
        <v>9173.0690902896276</v>
      </c>
      <c r="H404" s="66">
        <v>9862.0738483117784</v>
      </c>
      <c r="I404" s="74" t="s">
        <v>104</v>
      </c>
      <c r="J404" s="68">
        <v>12351</v>
      </c>
      <c r="K404" s="69"/>
      <c r="L404" s="79">
        <v>9031.949077692112</v>
      </c>
      <c r="M404" s="71">
        <v>9031.949077692112</v>
      </c>
      <c r="N404" s="72" t="s">
        <v>116</v>
      </c>
      <c r="O404" s="64" t="s">
        <v>183</v>
      </c>
    </row>
    <row r="405" spans="1:15" ht="20.25" customHeight="1">
      <c r="A405" s="63">
        <v>399</v>
      </c>
      <c r="B405" s="63">
        <v>1</v>
      </c>
      <c r="C405" s="62" t="s">
        <v>63</v>
      </c>
      <c r="D405" s="65" t="s">
        <v>778</v>
      </c>
      <c r="E405" s="66">
        <v>739.54241103574157</v>
      </c>
      <c r="F405" s="66">
        <v>10.284468756506</v>
      </c>
      <c r="G405" s="66">
        <v>772.96717804772038</v>
      </c>
      <c r="H405" s="66">
        <v>783.25164680422643</v>
      </c>
      <c r="I405" s="67" t="s">
        <v>104</v>
      </c>
      <c r="J405" s="68">
        <v>2513</v>
      </c>
      <c r="K405" s="69"/>
      <c r="L405" s="79">
        <v>739.54241103574157</v>
      </c>
      <c r="M405" s="71">
        <v>739.54241103574157</v>
      </c>
      <c r="N405" s="72" t="s">
        <v>116</v>
      </c>
      <c r="O405" s="64" t="s">
        <v>682</v>
      </c>
    </row>
    <row r="406" spans="1:15" ht="20.25" customHeight="1">
      <c r="A406" s="63">
        <v>400</v>
      </c>
      <c r="B406" s="63">
        <v>2</v>
      </c>
      <c r="C406" s="62" t="s">
        <v>63</v>
      </c>
      <c r="D406" s="65" t="s">
        <v>779</v>
      </c>
      <c r="E406" s="66">
        <v>10176.075079923938</v>
      </c>
      <c r="F406" s="66">
        <v>625.82595118562017</v>
      </c>
      <c r="G406" s="66">
        <v>9938.3087251328307</v>
      </c>
      <c r="H406" s="66">
        <v>10564.13467631845</v>
      </c>
      <c r="I406" s="74" t="s">
        <v>104</v>
      </c>
      <c r="J406" s="68">
        <v>11251</v>
      </c>
      <c r="K406" s="69"/>
      <c r="L406" s="79">
        <v>10176.075079923938</v>
      </c>
      <c r="M406" s="71">
        <v>10176.075079923938</v>
      </c>
      <c r="N406" s="72" t="s">
        <v>116</v>
      </c>
      <c r="O406" s="64" t="s">
        <v>780</v>
      </c>
    </row>
    <row r="407" spans="1:15" ht="20.25" customHeight="1">
      <c r="A407" s="63">
        <v>401</v>
      </c>
      <c r="B407" s="63">
        <v>3</v>
      </c>
      <c r="C407" s="62" t="s">
        <v>63</v>
      </c>
      <c r="D407" s="65" t="s">
        <v>781</v>
      </c>
      <c r="E407" s="66">
        <v>7471.4539492172134</v>
      </c>
      <c r="F407" s="66">
        <v>318.72919602236846</v>
      </c>
      <c r="G407" s="66">
        <v>9000.6829116000772</v>
      </c>
      <c r="H407" s="66">
        <v>9319.4121076224455</v>
      </c>
      <c r="I407" s="67" t="s">
        <v>91</v>
      </c>
      <c r="J407" s="68">
        <v>7921</v>
      </c>
      <c r="K407" s="69">
        <v>5309</v>
      </c>
      <c r="L407" s="70"/>
      <c r="M407" s="71">
        <v>5309</v>
      </c>
      <c r="N407" s="72" t="s">
        <v>116</v>
      </c>
      <c r="O407" s="64" t="s">
        <v>782</v>
      </c>
    </row>
    <row r="408" spans="1:15" ht="20.25" customHeight="1">
      <c r="A408" s="63">
        <v>402</v>
      </c>
      <c r="B408" s="63">
        <v>4</v>
      </c>
      <c r="C408" s="62" t="s">
        <v>63</v>
      </c>
      <c r="D408" s="65" t="s">
        <v>783</v>
      </c>
      <c r="E408" s="66">
        <v>3671.2411340667823</v>
      </c>
      <c r="F408" s="66">
        <v>61.517973522714556</v>
      </c>
      <c r="G408" s="66">
        <v>4399.7707662559078</v>
      </c>
      <c r="H408" s="66">
        <v>4461.2887397786226</v>
      </c>
      <c r="I408" s="74" t="s">
        <v>91</v>
      </c>
      <c r="J408" s="68">
        <v>5054.6099999999997</v>
      </c>
      <c r="K408" s="69">
        <v>3010.37462</v>
      </c>
      <c r="L408" s="70"/>
      <c r="M408" s="71">
        <v>3010.37462</v>
      </c>
      <c r="N408" s="72" t="s">
        <v>92</v>
      </c>
      <c r="O408" s="64" t="s">
        <v>784</v>
      </c>
    </row>
    <row r="409" spans="1:15" ht="20.25" customHeight="1">
      <c r="A409" s="63">
        <v>403</v>
      </c>
      <c r="B409" s="63">
        <v>5</v>
      </c>
      <c r="C409" s="62" t="s">
        <v>63</v>
      </c>
      <c r="D409" s="65" t="s">
        <v>785</v>
      </c>
      <c r="E409" s="66">
        <v>811.96037385634895</v>
      </c>
      <c r="F409" s="66">
        <v>115.0592789301313</v>
      </c>
      <c r="G409" s="66">
        <v>830.89159466239653</v>
      </c>
      <c r="H409" s="66">
        <v>945.95087359252784</v>
      </c>
      <c r="I409" s="67" t="s">
        <v>104</v>
      </c>
      <c r="J409" s="68">
        <v>919</v>
      </c>
      <c r="K409" s="69"/>
      <c r="L409" s="79">
        <v>811.96037385634895</v>
      </c>
      <c r="M409" s="71">
        <v>811.96037385634895</v>
      </c>
      <c r="N409" s="72" t="s">
        <v>116</v>
      </c>
      <c r="O409" s="64" t="s">
        <v>267</v>
      </c>
    </row>
    <row r="410" spans="1:15" ht="20.25" customHeight="1">
      <c r="A410" s="63">
        <v>404</v>
      </c>
      <c r="B410" s="63">
        <v>6</v>
      </c>
      <c r="C410" s="62" t="s">
        <v>63</v>
      </c>
      <c r="D410" s="65" t="s">
        <v>786</v>
      </c>
      <c r="E410" s="66">
        <v>16614.710916454202</v>
      </c>
      <c r="F410" s="66">
        <v>8.2618579692502507</v>
      </c>
      <c r="G410" s="66">
        <v>16823.512664752612</v>
      </c>
      <c r="H410" s="66">
        <v>16831.774522721862</v>
      </c>
      <c r="I410" s="74" t="s">
        <v>91</v>
      </c>
      <c r="J410" s="68">
        <v>14111</v>
      </c>
      <c r="K410" s="69">
        <v>13148</v>
      </c>
      <c r="L410" s="70"/>
      <c r="M410" s="71">
        <v>13148</v>
      </c>
      <c r="N410" s="72" t="s">
        <v>126</v>
      </c>
      <c r="O410" s="64" t="s">
        <v>787</v>
      </c>
    </row>
    <row r="411" spans="1:15" ht="20.25" customHeight="1">
      <c r="A411" s="63">
        <v>405</v>
      </c>
      <c r="B411" s="63">
        <v>1</v>
      </c>
      <c r="C411" s="64" t="s">
        <v>60</v>
      </c>
      <c r="D411" s="65" t="s">
        <v>788</v>
      </c>
      <c r="E411" s="66">
        <v>6584.5753760067028</v>
      </c>
      <c r="F411" s="66">
        <v>280.93530155733453</v>
      </c>
      <c r="G411" s="66">
        <v>5822.2443483344096</v>
      </c>
      <c r="H411" s="66">
        <v>6103.1796498917438</v>
      </c>
      <c r="I411" s="67" t="s">
        <v>91</v>
      </c>
      <c r="J411" s="68">
        <v>6863.9025726603604</v>
      </c>
      <c r="K411" s="69">
        <v>5432.6827355414598</v>
      </c>
      <c r="L411" s="70"/>
      <c r="M411" s="71">
        <v>5432.6827355414598</v>
      </c>
      <c r="N411" s="72" t="s">
        <v>116</v>
      </c>
      <c r="O411" s="64" t="s">
        <v>544</v>
      </c>
    </row>
    <row r="412" spans="1:15" ht="20.25" customHeight="1">
      <c r="A412" s="63">
        <v>406</v>
      </c>
      <c r="B412" s="63">
        <v>2</v>
      </c>
      <c r="C412" s="64" t="s">
        <v>60</v>
      </c>
      <c r="D412" s="65" t="s">
        <v>789</v>
      </c>
      <c r="E412" s="66">
        <v>15702.545830693423</v>
      </c>
      <c r="F412" s="66">
        <v>974.68109172399727</v>
      </c>
      <c r="G412" s="66">
        <v>15169.073426651639</v>
      </c>
      <c r="H412" s="66">
        <v>16143.754518375637</v>
      </c>
      <c r="I412" s="74" t="s">
        <v>91</v>
      </c>
      <c r="J412" s="68">
        <v>9877.56</v>
      </c>
      <c r="K412" s="69">
        <v>9545.3271889999996</v>
      </c>
      <c r="L412" s="70"/>
      <c r="M412" s="71">
        <v>9545.3271889999996</v>
      </c>
      <c r="N412" s="72" t="s">
        <v>97</v>
      </c>
      <c r="O412" s="76" t="s">
        <v>790</v>
      </c>
    </row>
    <row r="413" spans="1:15" ht="20.25" customHeight="1">
      <c r="A413" s="63">
        <v>407</v>
      </c>
      <c r="B413" s="63">
        <v>3</v>
      </c>
      <c r="C413" s="64" t="s">
        <v>60</v>
      </c>
      <c r="D413" s="65" t="s">
        <v>791</v>
      </c>
      <c r="E413" s="66">
        <v>117841.88784165261</v>
      </c>
      <c r="F413" s="66">
        <v>2891.2077969486204</v>
      </c>
      <c r="G413" s="66">
        <v>115412.53277469557</v>
      </c>
      <c r="H413" s="66">
        <v>118303.7405716442</v>
      </c>
      <c r="I413" s="67" t="s">
        <v>91</v>
      </c>
      <c r="J413" s="68">
        <v>108891</v>
      </c>
      <c r="K413" s="69">
        <v>63485</v>
      </c>
      <c r="L413" s="70"/>
      <c r="M413" s="71">
        <v>63485</v>
      </c>
      <c r="N413" s="72" t="s">
        <v>116</v>
      </c>
      <c r="O413" s="64" t="s">
        <v>183</v>
      </c>
    </row>
    <row r="414" spans="1:15" ht="20.25" customHeight="1">
      <c r="A414" s="63">
        <v>408</v>
      </c>
      <c r="B414" s="63">
        <v>4</v>
      </c>
      <c r="C414" s="64" t="s">
        <v>60</v>
      </c>
      <c r="D414" s="65" t="s">
        <v>792</v>
      </c>
      <c r="E414" s="66">
        <v>24843.955447433087</v>
      </c>
      <c r="F414" s="66">
        <v>48.142341569779532</v>
      </c>
      <c r="G414" s="66">
        <v>22538.102640563491</v>
      </c>
      <c r="H414" s="66">
        <v>22586.24498213327</v>
      </c>
      <c r="I414" s="74" t="s">
        <v>91</v>
      </c>
      <c r="J414" s="68">
        <v>22140</v>
      </c>
      <c r="K414" s="69">
        <v>19726.1983716504</v>
      </c>
      <c r="L414" s="70"/>
      <c r="M414" s="71">
        <v>19726.1983716504</v>
      </c>
      <c r="N414" s="72" t="s">
        <v>92</v>
      </c>
      <c r="O414" s="64" t="s">
        <v>793</v>
      </c>
    </row>
    <row r="415" spans="1:15" ht="20.25" customHeight="1">
      <c r="A415" s="63">
        <v>409</v>
      </c>
      <c r="B415" s="63">
        <v>5</v>
      </c>
      <c r="C415" s="64" t="s">
        <v>60</v>
      </c>
      <c r="D415" s="65" t="s">
        <v>794</v>
      </c>
      <c r="E415" s="66">
        <v>8453.523348866509</v>
      </c>
      <c r="F415" s="66">
        <v>255.49633959409763</v>
      </c>
      <c r="G415" s="66">
        <v>7479.8223339889782</v>
      </c>
      <c r="H415" s="66">
        <v>7735.3186735830759</v>
      </c>
      <c r="I415" s="67" t="s">
        <v>104</v>
      </c>
      <c r="J415" s="68">
        <v>4969.71</v>
      </c>
      <c r="K415" s="69"/>
      <c r="L415" s="79">
        <v>4969.71</v>
      </c>
      <c r="M415" s="71">
        <v>4969.71</v>
      </c>
      <c r="N415" s="72" t="s">
        <v>116</v>
      </c>
      <c r="O415" s="64" t="s">
        <v>795</v>
      </c>
    </row>
    <row r="416" spans="1:15" ht="20.25" customHeight="1">
      <c r="A416" s="63">
        <v>410</v>
      </c>
      <c r="B416" s="63">
        <v>6</v>
      </c>
      <c r="C416" s="64" t="s">
        <v>60</v>
      </c>
      <c r="D416" s="65" t="s">
        <v>796</v>
      </c>
      <c r="E416" s="66">
        <v>32903.252814761399</v>
      </c>
      <c r="F416" s="66">
        <v>358.81639206565421</v>
      </c>
      <c r="G416" s="66">
        <v>36050.404094027595</v>
      </c>
      <c r="H416" s="66">
        <v>36409.220486093247</v>
      </c>
      <c r="I416" s="74" t="s">
        <v>91</v>
      </c>
      <c r="J416" s="68">
        <v>31936.86</v>
      </c>
      <c r="K416" s="69">
        <v>28178.666003593677</v>
      </c>
      <c r="L416" s="70"/>
      <c r="M416" s="71">
        <v>28178.666003593677</v>
      </c>
      <c r="N416" s="72" t="s">
        <v>92</v>
      </c>
      <c r="O416" s="64" t="s">
        <v>797</v>
      </c>
    </row>
    <row r="417" spans="1:15" ht="20.25" customHeight="1">
      <c r="A417" s="63">
        <v>411</v>
      </c>
      <c r="B417" s="63">
        <v>7</v>
      </c>
      <c r="C417" s="64" t="s">
        <v>60</v>
      </c>
      <c r="D417" s="65" t="s">
        <v>798</v>
      </c>
      <c r="E417" s="66">
        <v>25995.74387382108</v>
      </c>
      <c r="F417" s="66">
        <v>161.53579501672769</v>
      </c>
      <c r="G417" s="66">
        <v>25649.536219240388</v>
      </c>
      <c r="H417" s="66">
        <v>25811.072014257115</v>
      </c>
      <c r="I417" s="67" t="s">
        <v>91</v>
      </c>
      <c r="J417" s="68">
        <v>25098</v>
      </c>
      <c r="K417" s="69">
        <v>22309</v>
      </c>
      <c r="L417" s="70"/>
      <c r="M417" s="71">
        <v>22309</v>
      </c>
      <c r="N417" s="72" t="s">
        <v>116</v>
      </c>
      <c r="O417" s="64" t="s">
        <v>799</v>
      </c>
    </row>
    <row r="418" spans="1:15" ht="20.25" customHeight="1">
      <c r="A418" s="63">
        <v>412</v>
      </c>
      <c r="B418" s="63">
        <v>8</v>
      </c>
      <c r="C418" s="64" t="s">
        <v>60</v>
      </c>
      <c r="D418" s="65" t="s">
        <v>800</v>
      </c>
      <c r="E418" s="66">
        <v>1808.8280023108123</v>
      </c>
      <c r="F418" s="66">
        <v>8.8699398318205844</v>
      </c>
      <c r="G418" s="66">
        <v>1846.1582030122702</v>
      </c>
      <c r="H418" s="66">
        <v>1855.0281428440908</v>
      </c>
      <c r="I418" s="74" t="s">
        <v>104</v>
      </c>
      <c r="J418" s="68">
        <v>3583</v>
      </c>
      <c r="K418" s="69"/>
      <c r="L418" s="79">
        <v>1808.8280023108123</v>
      </c>
      <c r="M418" s="71">
        <v>1808.8280023108123</v>
      </c>
      <c r="N418" s="72" t="s">
        <v>116</v>
      </c>
      <c r="O418" s="64" t="s">
        <v>801</v>
      </c>
    </row>
    <row r="419" spans="1:15" ht="20.25" hidden="1" customHeight="1">
      <c r="A419" s="63">
        <v>413</v>
      </c>
      <c r="B419" s="63">
        <v>9</v>
      </c>
      <c r="C419" s="64" t="s">
        <v>60</v>
      </c>
      <c r="D419" s="65" t="s">
        <v>802</v>
      </c>
      <c r="E419" s="66">
        <v>2035.3319146628191</v>
      </c>
      <c r="F419" s="66">
        <v>23.787935170072714</v>
      </c>
      <c r="G419" s="66">
        <v>1391.8962714268323</v>
      </c>
      <c r="H419" s="66">
        <v>1415.6842065969049</v>
      </c>
      <c r="I419" s="67" t="s">
        <v>123</v>
      </c>
      <c r="J419" s="68">
        <v>0</v>
      </c>
      <c r="K419" s="80"/>
      <c r="L419" s="81"/>
      <c r="M419" s="82">
        <v>0</v>
      </c>
      <c r="N419" s="72" t="s">
        <v>116</v>
      </c>
      <c r="O419" s="64" t="s">
        <v>803</v>
      </c>
    </row>
    <row r="420" spans="1:15" ht="20.25" customHeight="1">
      <c r="A420" s="63">
        <v>414</v>
      </c>
      <c r="B420" s="92">
        <v>10</v>
      </c>
      <c r="C420" s="62" t="s">
        <v>60</v>
      </c>
      <c r="D420" s="65" t="s">
        <v>804</v>
      </c>
      <c r="E420" s="66">
        <v>1569.7954295671573</v>
      </c>
      <c r="F420" s="66">
        <v>1.7733506567519999E-2</v>
      </c>
      <c r="G420" s="66">
        <v>1859.2546825790307</v>
      </c>
      <c r="H420" s="66">
        <v>1859.2724160855983</v>
      </c>
      <c r="I420" s="74" t="s">
        <v>91</v>
      </c>
      <c r="J420" s="68">
        <v>1307.21</v>
      </c>
      <c r="K420" s="69">
        <v>726</v>
      </c>
      <c r="L420" s="70"/>
      <c r="M420" s="71">
        <v>726</v>
      </c>
      <c r="N420" s="72" t="s">
        <v>126</v>
      </c>
      <c r="O420" s="64" t="s">
        <v>805</v>
      </c>
    </row>
    <row r="421" spans="1:15" ht="20.25" customHeight="1">
      <c r="A421" s="63">
        <v>415</v>
      </c>
      <c r="B421" s="63">
        <v>11</v>
      </c>
      <c r="C421" s="64" t="s">
        <v>60</v>
      </c>
      <c r="D421" s="65" t="s">
        <v>806</v>
      </c>
      <c r="E421" s="66">
        <v>865.38144529535646</v>
      </c>
      <c r="F421" s="66">
        <v>0.43291234841699999</v>
      </c>
      <c r="G421" s="66">
        <v>752.60490948641927</v>
      </c>
      <c r="H421" s="66">
        <v>753.03782183483622</v>
      </c>
      <c r="I421" s="67" t="s">
        <v>104</v>
      </c>
      <c r="J421" s="68">
        <v>305.07</v>
      </c>
      <c r="K421" s="69"/>
      <c r="L421" s="79">
        <v>305.07</v>
      </c>
      <c r="M421" s="71">
        <v>305.07</v>
      </c>
      <c r="N421" s="72" t="s">
        <v>126</v>
      </c>
      <c r="O421" s="64" t="s">
        <v>542</v>
      </c>
    </row>
    <row r="422" spans="1:15" ht="20.25" customHeight="1">
      <c r="A422" s="63">
        <v>416</v>
      </c>
      <c r="B422" s="63">
        <v>12</v>
      </c>
      <c r="C422" s="64" t="s">
        <v>60</v>
      </c>
      <c r="D422" s="65" t="s">
        <v>807</v>
      </c>
      <c r="E422" s="66">
        <v>30655.024348713094</v>
      </c>
      <c r="F422" s="66">
        <v>11.419007128926559</v>
      </c>
      <c r="G422" s="66">
        <v>31390.615702630977</v>
      </c>
      <c r="H422" s="66">
        <v>31402.034709759904</v>
      </c>
      <c r="I422" s="74" t="s">
        <v>91</v>
      </c>
      <c r="J422" s="68">
        <v>22053</v>
      </c>
      <c r="K422" s="69">
        <v>17402.21</v>
      </c>
      <c r="L422" s="75"/>
      <c r="M422" s="71">
        <v>17402.21</v>
      </c>
      <c r="N422" s="72" t="s">
        <v>97</v>
      </c>
      <c r="O422" s="64" t="s">
        <v>808</v>
      </c>
    </row>
    <row r="423" spans="1:15" ht="20.25" customHeight="1">
      <c r="A423" s="63">
        <v>417</v>
      </c>
      <c r="B423" s="63">
        <v>14</v>
      </c>
      <c r="C423" s="64" t="s">
        <v>60</v>
      </c>
      <c r="D423" s="65" t="s">
        <v>809</v>
      </c>
      <c r="E423" s="66">
        <v>23394.354736221489</v>
      </c>
      <c r="F423" s="66">
        <v>1002.1633809511488</v>
      </c>
      <c r="G423" s="66">
        <v>22603.330329606248</v>
      </c>
      <c r="H423" s="66">
        <v>23605.493710557395</v>
      </c>
      <c r="I423" s="67" t="s">
        <v>91</v>
      </c>
      <c r="J423" s="68">
        <v>21991.120000000003</v>
      </c>
      <c r="K423" s="69">
        <v>20274.861729054799</v>
      </c>
      <c r="L423" s="70"/>
      <c r="M423" s="71">
        <v>20274.861729054799</v>
      </c>
      <c r="N423" s="72" t="s">
        <v>97</v>
      </c>
      <c r="O423" s="64" t="s">
        <v>810</v>
      </c>
    </row>
    <row r="424" spans="1:15" ht="20.25" customHeight="1">
      <c r="A424" s="63">
        <v>418</v>
      </c>
      <c r="B424" s="63">
        <v>13</v>
      </c>
      <c r="C424" s="64" t="s">
        <v>60</v>
      </c>
      <c r="D424" s="65" t="s">
        <v>811</v>
      </c>
      <c r="E424" s="66">
        <v>27873.692403114921</v>
      </c>
      <c r="F424" s="66">
        <v>773.7835457313148</v>
      </c>
      <c r="G424" s="66">
        <v>27321.427213047336</v>
      </c>
      <c r="H424" s="66">
        <v>28095.210758778652</v>
      </c>
      <c r="I424" s="74" t="s">
        <v>91</v>
      </c>
      <c r="J424" s="68">
        <v>27911</v>
      </c>
      <c r="K424" s="69">
        <v>25912.6901</v>
      </c>
      <c r="L424" s="70"/>
      <c r="M424" s="71">
        <v>25912.6901</v>
      </c>
      <c r="N424" s="72" t="s">
        <v>116</v>
      </c>
      <c r="O424" s="64" t="s">
        <v>183</v>
      </c>
    </row>
    <row r="425" spans="1:15" ht="20.25" customHeight="1">
      <c r="A425" s="63">
        <v>419</v>
      </c>
      <c r="B425" s="63">
        <v>15</v>
      </c>
      <c r="C425" s="64" t="s">
        <v>60</v>
      </c>
      <c r="D425" s="65" t="s">
        <v>812</v>
      </c>
      <c r="E425" s="66">
        <v>26204.579415244989</v>
      </c>
      <c r="F425" s="66">
        <v>409.4309659547971</v>
      </c>
      <c r="G425" s="66">
        <v>24866.863689317754</v>
      </c>
      <c r="H425" s="66">
        <v>25276.294655272552</v>
      </c>
      <c r="I425" s="67" t="s">
        <v>91</v>
      </c>
      <c r="J425" s="68">
        <v>23019</v>
      </c>
      <c r="K425" s="69">
        <v>20776.333758000001</v>
      </c>
      <c r="L425" s="70"/>
      <c r="M425" s="71">
        <v>20776.333758000001</v>
      </c>
      <c r="N425" s="72" t="s">
        <v>116</v>
      </c>
      <c r="O425" s="64" t="s">
        <v>387</v>
      </c>
    </row>
    <row r="426" spans="1:15" ht="20.25" customHeight="1">
      <c r="A426" s="63">
        <v>420</v>
      </c>
      <c r="B426" s="63">
        <v>16</v>
      </c>
      <c r="C426" s="64" t="s">
        <v>60</v>
      </c>
      <c r="D426" s="65" t="s">
        <v>813</v>
      </c>
      <c r="E426" s="66">
        <v>16819.369016365061</v>
      </c>
      <c r="F426" s="66">
        <v>237.14057055072621</v>
      </c>
      <c r="G426" s="66">
        <v>16535.93678190884</v>
      </c>
      <c r="H426" s="66">
        <v>16773.077352459568</v>
      </c>
      <c r="I426" s="74" t="s">
        <v>91</v>
      </c>
      <c r="J426" s="68">
        <v>13326.97</v>
      </c>
      <c r="K426" s="69">
        <v>12735.721352943232</v>
      </c>
      <c r="L426" s="70"/>
      <c r="M426" s="71">
        <v>12735.721352943232</v>
      </c>
      <c r="N426" s="72" t="s">
        <v>97</v>
      </c>
      <c r="O426" s="64" t="s">
        <v>814</v>
      </c>
    </row>
    <row r="427" spans="1:15" ht="20.25" customHeight="1">
      <c r="A427" s="63">
        <v>421</v>
      </c>
      <c r="B427" s="63">
        <v>17</v>
      </c>
      <c r="C427" s="64" t="s">
        <v>60</v>
      </c>
      <c r="D427" s="65" t="s">
        <v>815</v>
      </c>
      <c r="E427" s="66">
        <v>48810.775403389365</v>
      </c>
      <c r="F427" s="66">
        <v>151.22626331483386</v>
      </c>
      <c r="G427" s="66">
        <v>50726.467850923247</v>
      </c>
      <c r="H427" s="66">
        <v>50877.694114238082</v>
      </c>
      <c r="I427" s="67" t="s">
        <v>91</v>
      </c>
      <c r="J427" s="68">
        <v>45907.92</v>
      </c>
      <c r="K427" s="69">
        <v>44331.788345950641</v>
      </c>
      <c r="L427" s="70"/>
      <c r="M427" s="71">
        <v>44331.788345950641</v>
      </c>
      <c r="N427" s="72" t="s">
        <v>97</v>
      </c>
      <c r="O427" s="76" t="s">
        <v>816</v>
      </c>
    </row>
    <row r="428" spans="1:15" ht="20.25" customHeight="1">
      <c r="A428" s="63">
        <v>422</v>
      </c>
      <c r="B428" s="63">
        <v>18</v>
      </c>
      <c r="C428" s="64" t="s">
        <v>60</v>
      </c>
      <c r="D428" s="65" t="s">
        <v>817</v>
      </c>
      <c r="E428" s="66">
        <v>48830.979374159411</v>
      </c>
      <c r="F428" s="66">
        <v>1420.6382649609639</v>
      </c>
      <c r="G428" s="66">
        <v>49968.127589850192</v>
      </c>
      <c r="H428" s="66">
        <v>51388.765854811158</v>
      </c>
      <c r="I428" s="74" t="s">
        <v>91</v>
      </c>
      <c r="J428" s="68">
        <v>50678.73</v>
      </c>
      <c r="K428" s="69">
        <v>46899.103809430395</v>
      </c>
      <c r="L428" s="70"/>
      <c r="M428" s="71">
        <v>46899.103809430395</v>
      </c>
      <c r="N428" s="72" t="s">
        <v>92</v>
      </c>
      <c r="O428" s="64" t="s">
        <v>818</v>
      </c>
    </row>
    <row r="429" spans="1:15" ht="20.25" customHeight="1">
      <c r="A429" s="63">
        <v>423</v>
      </c>
      <c r="B429" s="63">
        <v>19</v>
      </c>
      <c r="C429" s="64" t="s">
        <v>60</v>
      </c>
      <c r="D429" s="65" t="s">
        <v>819</v>
      </c>
      <c r="E429" s="66">
        <v>16322.332077681125</v>
      </c>
      <c r="F429" s="66">
        <v>58.943137696820344</v>
      </c>
      <c r="G429" s="66">
        <v>16324.284690817976</v>
      </c>
      <c r="H429" s="66">
        <v>16383.227828514797</v>
      </c>
      <c r="I429" s="67" t="s">
        <v>91</v>
      </c>
      <c r="J429" s="68">
        <v>13593</v>
      </c>
      <c r="K429" s="69">
        <v>10628</v>
      </c>
      <c r="L429" s="70"/>
      <c r="M429" s="71">
        <v>10628</v>
      </c>
      <c r="N429" s="72" t="s">
        <v>126</v>
      </c>
      <c r="O429" s="64" t="s">
        <v>820</v>
      </c>
    </row>
    <row r="430" spans="1:15" ht="20.25" customHeight="1">
      <c r="A430" s="63">
        <v>424</v>
      </c>
      <c r="B430" s="63">
        <v>20</v>
      </c>
      <c r="C430" s="64" t="s">
        <v>60</v>
      </c>
      <c r="D430" s="65" t="s">
        <v>821</v>
      </c>
      <c r="E430" s="66">
        <v>28355.11744899302</v>
      </c>
      <c r="F430" s="66">
        <v>160.70804058068634</v>
      </c>
      <c r="G430" s="66">
        <v>27215.853951640456</v>
      </c>
      <c r="H430" s="66">
        <v>27376.561992221141</v>
      </c>
      <c r="I430" s="74" t="s">
        <v>91</v>
      </c>
      <c r="J430" s="68">
        <v>33615</v>
      </c>
      <c r="K430" s="69">
        <v>27897</v>
      </c>
      <c r="L430" s="75"/>
      <c r="M430" s="71">
        <v>27897</v>
      </c>
      <c r="N430" s="72" t="s">
        <v>97</v>
      </c>
      <c r="O430" s="64" t="s">
        <v>822</v>
      </c>
    </row>
    <row r="431" spans="1:15" ht="20.25" customHeight="1">
      <c r="A431" s="63">
        <v>425</v>
      </c>
      <c r="B431" s="63">
        <v>21</v>
      </c>
      <c r="C431" s="64" t="s">
        <v>60</v>
      </c>
      <c r="D431" s="65" t="s">
        <v>823</v>
      </c>
      <c r="E431" s="66">
        <v>17182.258027413838</v>
      </c>
      <c r="F431" s="66">
        <v>1016.0954434782324</v>
      </c>
      <c r="G431" s="66">
        <v>16984.002139503802</v>
      </c>
      <c r="H431" s="66">
        <v>18000.097582982035</v>
      </c>
      <c r="I431" s="67" t="s">
        <v>91</v>
      </c>
      <c r="J431" s="68">
        <v>16968.96</v>
      </c>
      <c r="K431" s="69">
        <v>15720.102711912699</v>
      </c>
      <c r="L431" s="70"/>
      <c r="M431" s="71">
        <v>15720.102711912699</v>
      </c>
      <c r="N431" s="72" t="s">
        <v>97</v>
      </c>
      <c r="O431" s="64" t="s">
        <v>824</v>
      </c>
    </row>
    <row r="432" spans="1:15" ht="20.25" customHeight="1">
      <c r="A432" s="63">
        <v>426</v>
      </c>
      <c r="B432" s="63">
        <v>22</v>
      </c>
      <c r="C432" s="64" t="s">
        <v>60</v>
      </c>
      <c r="D432" s="65" t="s">
        <v>825</v>
      </c>
      <c r="E432" s="66">
        <v>14392.265329278842</v>
      </c>
      <c r="F432" s="66">
        <v>129.5973178828327</v>
      </c>
      <c r="G432" s="66">
        <v>14195.156214771825</v>
      </c>
      <c r="H432" s="66">
        <v>14324.753532654659</v>
      </c>
      <c r="I432" s="74" t="s">
        <v>91</v>
      </c>
      <c r="J432" s="68">
        <v>13440.2</v>
      </c>
      <c r="K432" s="69">
        <v>12612</v>
      </c>
      <c r="L432" s="70"/>
      <c r="M432" s="71">
        <v>12612</v>
      </c>
      <c r="N432" s="72" t="s">
        <v>97</v>
      </c>
      <c r="O432" s="76" t="s">
        <v>826</v>
      </c>
    </row>
    <row r="433" spans="1:15" ht="20.25" customHeight="1">
      <c r="A433" s="63">
        <v>427</v>
      </c>
      <c r="B433" s="63">
        <v>23</v>
      </c>
      <c r="C433" s="64" t="s">
        <v>60</v>
      </c>
      <c r="D433" s="65" t="s">
        <v>827</v>
      </c>
      <c r="E433" s="66">
        <v>16047.261856132274</v>
      </c>
      <c r="F433" s="66">
        <v>222.48225188636883</v>
      </c>
      <c r="G433" s="66">
        <v>16502.162088907236</v>
      </c>
      <c r="H433" s="66">
        <v>16724.644340793606</v>
      </c>
      <c r="I433" s="67" t="s">
        <v>91</v>
      </c>
      <c r="J433" s="68">
        <v>10960</v>
      </c>
      <c r="K433" s="69">
        <v>13095.973296102</v>
      </c>
      <c r="L433" s="75"/>
      <c r="M433" s="71">
        <v>13095.973296102</v>
      </c>
      <c r="N433" s="72" t="s">
        <v>116</v>
      </c>
      <c r="O433" s="64" t="s">
        <v>828</v>
      </c>
    </row>
    <row r="434" spans="1:15" ht="20.25" customHeight="1">
      <c r="A434" s="63">
        <v>428</v>
      </c>
      <c r="B434" s="63">
        <v>24</v>
      </c>
      <c r="C434" s="64" t="s">
        <v>60</v>
      </c>
      <c r="D434" s="65" t="s">
        <v>829</v>
      </c>
      <c r="E434" s="66">
        <v>101325.56488263552</v>
      </c>
      <c r="F434" s="66">
        <v>8.8830527591770903</v>
      </c>
      <c r="G434" s="66">
        <v>101425.81836266303</v>
      </c>
      <c r="H434" s="66">
        <v>101434.70141542221</v>
      </c>
      <c r="I434" s="74" t="s">
        <v>91</v>
      </c>
      <c r="J434" s="68">
        <v>99750.319999999992</v>
      </c>
      <c r="K434" s="69">
        <v>99097.069209177454</v>
      </c>
      <c r="L434" s="70"/>
      <c r="M434" s="71">
        <v>99097.069209177454</v>
      </c>
      <c r="N434" s="72" t="s">
        <v>97</v>
      </c>
      <c r="O434" s="76" t="s">
        <v>830</v>
      </c>
    </row>
    <row r="435" spans="1:15" ht="20.25" customHeight="1">
      <c r="A435" s="63">
        <v>429</v>
      </c>
      <c r="B435" s="63">
        <v>1</v>
      </c>
      <c r="C435" s="62" t="s">
        <v>61</v>
      </c>
      <c r="D435" s="65" t="s">
        <v>831</v>
      </c>
      <c r="E435" s="66">
        <v>10043.823357026915</v>
      </c>
      <c r="F435" s="66">
        <v>1717.5547846399199</v>
      </c>
      <c r="G435" s="66">
        <v>10832.353087081827</v>
      </c>
      <c r="H435" s="66">
        <v>12549.907871721747</v>
      </c>
      <c r="I435" s="67" t="s">
        <v>91</v>
      </c>
      <c r="J435" s="68">
        <v>12723</v>
      </c>
      <c r="K435" s="69">
        <v>10043.823348870499</v>
      </c>
      <c r="L435" s="70"/>
      <c r="M435" s="71">
        <v>10043.823348870499</v>
      </c>
      <c r="N435" s="72" t="s">
        <v>126</v>
      </c>
      <c r="O435" s="64" t="s">
        <v>461</v>
      </c>
    </row>
    <row r="436" spans="1:15" ht="20.25" customHeight="1">
      <c r="A436" s="63">
        <v>430</v>
      </c>
      <c r="B436" s="63">
        <v>2</v>
      </c>
      <c r="C436" s="62" t="s">
        <v>61</v>
      </c>
      <c r="D436" s="65" t="s">
        <v>832</v>
      </c>
      <c r="E436" s="66">
        <v>1369.0002596838744</v>
      </c>
      <c r="F436" s="66">
        <v>0</v>
      </c>
      <c r="G436" s="66">
        <v>948.36924411920347</v>
      </c>
      <c r="H436" s="66">
        <v>948.36924411920347</v>
      </c>
      <c r="I436" s="74" t="s">
        <v>104</v>
      </c>
      <c r="J436" s="68">
        <v>1128</v>
      </c>
      <c r="K436" s="69"/>
      <c r="L436" s="79">
        <v>1128</v>
      </c>
      <c r="M436" s="71">
        <v>1128</v>
      </c>
      <c r="N436" s="72" t="s">
        <v>126</v>
      </c>
      <c r="O436" s="64" t="s">
        <v>833</v>
      </c>
    </row>
    <row r="437" spans="1:15" ht="20.25" customHeight="1">
      <c r="A437" s="63">
        <v>431</v>
      </c>
      <c r="B437" s="63">
        <v>3</v>
      </c>
      <c r="C437" s="62" t="s">
        <v>61</v>
      </c>
      <c r="D437" s="65" t="s">
        <v>834</v>
      </c>
      <c r="E437" s="66">
        <v>0</v>
      </c>
      <c r="F437" s="66">
        <v>0</v>
      </c>
      <c r="G437" s="66">
        <v>0</v>
      </c>
      <c r="H437" s="66">
        <v>0</v>
      </c>
      <c r="I437" s="67" t="s">
        <v>91</v>
      </c>
      <c r="J437" s="68">
        <v>1829.74</v>
      </c>
      <c r="K437" s="69">
        <v>0</v>
      </c>
      <c r="L437" s="70"/>
      <c r="M437" s="71">
        <v>0</v>
      </c>
      <c r="N437" s="72" t="s">
        <v>92</v>
      </c>
      <c r="O437" s="64" t="s">
        <v>835</v>
      </c>
    </row>
    <row r="438" spans="1:15" ht="20.25" customHeight="1">
      <c r="A438" s="63">
        <v>432</v>
      </c>
      <c r="B438" s="63">
        <v>4</v>
      </c>
      <c r="C438" s="62" t="s">
        <v>61</v>
      </c>
      <c r="D438" s="65" t="s">
        <v>836</v>
      </c>
      <c r="E438" s="66">
        <v>0</v>
      </c>
      <c r="F438" s="66">
        <v>0</v>
      </c>
      <c r="G438" s="66">
        <v>10.002920299299999</v>
      </c>
      <c r="H438" s="66">
        <v>10.002920299299999</v>
      </c>
      <c r="I438" s="74" t="s">
        <v>104</v>
      </c>
      <c r="J438" s="68">
        <v>32331.83</v>
      </c>
      <c r="K438" s="69"/>
      <c r="L438" s="79">
        <v>0</v>
      </c>
      <c r="M438" s="71">
        <v>0</v>
      </c>
      <c r="N438" s="72" t="s">
        <v>126</v>
      </c>
      <c r="O438" s="64" t="s">
        <v>837</v>
      </c>
    </row>
    <row r="439" spans="1:15" ht="20.25" customHeight="1">
      <c r="A439" s="63">
        <v>433</v>
      </c>
      <c r="B439" s="63">
        <v>5</v>
      </c>
      <c r="C439" s="62" t="s">
        <v>61</v>
      </c>
      <c r="D439" s="65" t="s">
        <v>838</v>
      </c>
      <c r="E439" s="66">
        <v>992.26889610267153</v>
      </c>
      <c r="F439" s="66">
        <v>0</v>
      </c>
      <c r="G439" s="66">
        <v>1142.9814051824844</v>
      </c>
      <c r="H439" s="66">
        <v>1142.9814051824844</v>
      </c>
      <c r="I439" s="67" t="s">
        <v>91</v>
      </c>
      <c r="J439" s="68">
        <v>3135</v>
      </c>
      <c r="K439" s="69">
        <v>992.05680403564099</v>
      </c>
      <c r="L439" s="70"/>
      <c r="M439" s="71">
        <v>992.05680403564099</v>
      </c>
      <c r="N439" s="72" t="s">
        <v>126</v>
      </c>
      <c r="O439" s="64" t="s">
        <v>833</v>
      </c>
    </row>
    <row r="440" spans="1:15" ht="20.25" customHeight="1">
      <c r="A440" s="63">
        <v>434</v>
      </c>
      <c r="B440" s="63">
        <v>6</v>
      </c>
      <c r="C440" s="62" t="s">
        <v>61</v>
      </c>
      <c r="D440" s="65" t="s">
        <v>839</v>
      </c>
      <c r="E440" s="66">
        <v>7738.3022160144392</v>
      </c>
      <c r="F440" s="66">
        <v>249.38396441900366</v>
      </c>
      <c r="G440" s="66">
        <v>8309.7293180593097</v>
      </c>
      <c r="H440" s="66">
        <v>8559.1132824783126</v>
      </c>
      <c r="I440" s="74" t="s">
        <v>104</v>
      </c>
      <c r="J440" s="68">
        <v>9744</v>
      </c>
      <c r="K440" s="69"/>
      <c r="L440" s="79">
        <v>7738.3022160144392</v>
      </c>
      <c r="M440" s="71">
        <v>7738.3022160144392</v>
      </c>
      <c r="N440" s="72" t="s">
        <v>116</v>
      </c>
      <c r="O440" s="64" t="s">
        <v>267</v>
      </c>
    </row>
    <row r="441" spans="1:15" ht="20.25" hidden="1" customHeight="1">
      <c r="A441" s="63">
        <v>435</v>
      </c>
      <c r="B441" s="63">
        <v>7</v>
      </c>
      <c r="C441" s="62" t="s">
        <v>61</v>
      </c>
      <c r="D441" s="65" t="s">
        <v>840</v>
      </c>
      <c r="E441" s="66">
        <v>11244.037929703743</v>
      </c>
      <c r="F441" s="66">
        <v>500.28921306213192</v>
      </c>
      <c r="G441" s="66">
        <v>13012.058395957411</v>
      </c>
      <c r="H441" s="66">
        <v>13512.347609019542</v>
      </c>
      <c r="I441" s="67" t="s">
        <v>123</v>
      </c>
      <c r="J441" s="68">
        <v>0</v>
      </c>
      <c r="K441" s="80"/>
      <c r="L441" s="81"/>
      <c r="M441" s="82">
        <v>0</v>
      </c>
      <c r="N441" s="72" t="s">
        <v>126</v>
      </c>
      <c r="O441" s="64" t="s">
        <v>841</v>
      </c>
    </row>
    <row r="442" spans="1:15" ht="20.25" customHeight="1">
      <c r="A442" s="63">
        <v>436</v>
      </c>
      <c r="B442" s="63">
        <v>8</v>
      </c>
      <c r="C442" s="62" t="s">
        <v>61</v>
      </c>
      <c r="D442" s="65" t="s">
        <v>842</v>
      </c>
      <c r="E442" s="66">
        <v>1125.6082973963007</v>
      </c>
      <c r="F442" s="66">
        <v>9.5172397807042</v>
      </c>
      <c r="G442" s="66">
        <v>1472.5993205033606</v>
      </c>
      <c r="H442" s="66">
        <v>1482.1165602840647</v>
      </c>
      <c r="I442" s="74" t="s">
        <v>104</v>
      </c>
      <c r="J442" s="68">
        <v>9466.69</v>
      </c>
      <c r="K442" s="69"/>
      <c r="L442" s="79">
        <v>1125.6082973963007</v>
      </c>
      <c r="M442" s="71">
        <v>1125.6082973963007</v>
      </c>
      <c r="N442" s="72" t="s">
        <v>116</v>
      </c>
      <c r="O442" s="64" t="s">
        <v>843</v>
      </c>
    </row>
    <row r="443" spans="1:15" ht="20.25" customHeight="1">
      <c r="A443" s="63">
        <v>437</v>
      </c>
      <c r="B443" s="63">
        <v>9</v>
      </c>
      <c r="C443" s="62" t="s">
        <v>61</v>
      </c>
      <c r="D443" s="65" t="s">
        <v>844</v>
      </c>
      <c r="E443" s="66">
        <v>27250.831403265976</v>
      </c>
      <c r="F443" s="66">
        <v>12551.593032602394</v>
      </c>
      <c r="G443" s="66">
        <v>16740.552482273295</v>
      </c>
      <c r="H443" s="66">
        <v>29292.145514875687</v>
      </c>
      <c r="I443" s="67" t="s">
        <v>91</v>
      </c>
      <c r="J443" s="68">
        <v>40512.78</v>
      </c>
      <c r="K443" s="69">
        <v>25497</v>
      </c>
      <c r="L443" s="70"/>
      <c r="M443" s="71">
        <v>25497</v>
      </c>
      <c r="N443" s="72" t="s">
        <v>97</v>
      </c>
      <c r="O443" s="64" t="s">
        <v>845</v>
      </c>
    </row>
    <row r="444" spans="1:15" ht="20.25" customHeight="1">
      <c r="A444" s="63">
        <v>438</v>
      </c>
      <c r="B444" s="63">
        <v>10</v>
      </c>
      <c r="C444" s="62" t="s">
        <v>61</v>
      </c>
      <c r="D444" s="65" t="s">
        <v>846</v>
      </c>
      <c r="E444" s="66">
        <v>252.47201489846401</v>
      </c>
      <c r="F444" s="66">
        <v>0</v>
      </c>
      <c r="G444" s="66">
        <v>337.02063822525878</v>
      </c>
      <c r="H444" s="66">
        <v>337.02063822525878</v>
      </c>
      <c r="I444" s="74" t="s">
        <v>104</v>
      </c>
      <c r="J444" s="68">
        <v>1909</v>
      </c>
      <c r="K444" s="69"/>
      <c r="L444" s="79">
        <v>252.47201489846401</v>
      </c>
      <c r="M444" s="71">
        <v>252.47201489846401</v>
      </c>
      <c r="N444" s="72" t="s">
        <v>116</v>
      </c>
      <c r="O444" s="64" t="s">
        <v>243</v>
      </c>
    </row>
    <row r="445" spans="1:15" ht="20.25" customHeight="1">
      <c r="A445" s="63">
        <v>439</v>
      </c>
      <c r="B445" s="63">
        <v>11</v>
      </c>
      <c r="C445" s="62" t="s">
        <v>61</v>
      </c>
      <c r="D445" s="65" t="s">
        <v>847</v>
      </c>
      <c r="E445" s="66">
        <v>16782.309326846615</v>
      </c>
      <c r="F445" s="66">
        <v>723.79138140124917</v>
      </c>
      <c r="G445" s="66">
        <v>16028.815929147155</v>
      </c>
      <c r="H445" s="66">
        <v>16752.607310548403</v>
      </c>
      <c r="I445" s="67" t="s">
        <v>91</v>
      </c>
      <c r="J445" s="68">
        <v>27707</v>
      </c>
      <c r="K445" s="69">
        <v>11873</v>
      </c>
      <c r="L445" s="70"/>
      <c r="M445" s="71">
        <v>11873</v>
      </c>
      <c r="N445" s="72" t="s">
        <v>116</v>
      </c>
      <c r="O445" s="64" t="s">
        <v>848</v>
      </c>
    </row>
    <row r="446" spans="1:15" ht="20.25" customHeight="1">
      <c r="A446" s="63">
        <v>440</v>
      </c>
      <c r="B446" s="63">
        <v>12</v>
      </c>
      <c r="C446" s="62" t="s">
        <v>61</v>
      </c>
      <c r="D446" s="65" t="s">
        <v>849</v>
      </c>
      <c r="E446" s="66">
        <v>1673.191647782696</v>
      </c>
      <c r="F446" s="66">
        <v>6.5176427078976999</v>
      </c>
      <c r="G446" s="66">
        <v>1452.6649934508591</v>
      </c>
      <c r="H446" s="66">
        <v>1459.1826361587568</v>
      </c>
      <c r="I446" s="74" t="s">
        <v>104</v>
      </c>
      <c r="J446" s="68">
        <v>4000</v>
      </c>
      <c r="K446" s="69"/>
      <c r="L446" s="79">
        <v>1673.191647782696</v>
      </c>
      <c r="M446" s="71">
        <v>1673.191647782696</v>
      </c>
      <c r="N446" s="72" t="s">
        <v>116</v>
      </c>
      <c r="O446" s="64" t="s">
        <v>850</v>
      </c>
    </row>
    <row r="447" spans="1:15" ht="20.25" customHeight="1">
      <c r="A447" s="63">
        <v>441</v>
      </c>
      <c r="B447" s="63">
        <v>13</v>
      </c>
      <c r="C447" s="62" t="s">
        <v>61</v>
      </c>
      <c r="D447" s="65" t="s">
        <v>851</v>
      </c>
      <c r="E447" s="66">
        <v>1365.5865624316141</v>
      </c>
      <c r="F447" s="66">
        <v>4.1835376535530004</v>
      </c>
      <c r="G447" s="66">
        <v>1151.6676652054514</v>
      </c>
      <c r="H447" s="66">
        <v>1155.8512028590044</v>
      </c>
      <c r="I447" s="67" t="s">
        <v>104</v>
      </c>
      <c r="J447" s="68">
        <v>5500</v>
      </c>
      <c r="K447" s="69"/>
      <c r="L447" s="79">
        <v>1365.5865624316141</v>
      </c>
      <c r="M447" s="71">
        <v>1365.5865624316141</v>
      </c>
      <c r="N447" s="72" t="s">
        <v>116</v>
      </c>
      <c r="O447" s="64" t="s">
        <v>850</v>
      </c>
    </row>
    <row r="448" spans="1:15" ht="20.25" hidden="1" customHeight="1">
      <c r="A448" s="63">
        <v>442</v>
      </c>
      <c r="B448" s="63">
        <v>14</v>
      </c>
      <c r="C448" s="62" t="s">
        <v>61</v>
      </c>
      <c r="D448" s="65" t="s">
        <v>852</v>
      </c>
      <c r="E448" s="66">
        <v>238.27634132646998</v>
      </c>
      <c r="F448" s="66">
        <v>0</v>
      </c>
      <c r="G448" s="66">
        <v>355.30784097717634</v>
      </c>
      <c r="H448" s="66">
        <v>355.30784097717634</v>
      </c>
      <c r="I448" s="74" t="s">
        <v>123</v>
      </c>
      <c r="J448" s="68">
        <v>0</v>
      </c>
      <c r="K448" s="80"/>
      <c r="L448" s="81"/>
      <c r="M448" s="82">
        <v>0</v>
      </c>
      <c r="N448" s="72" t="s">
        <v>126</v>
      </c>
      <c r="O448" s="64" t="s">
        <v>763</v>
      </c>
    </row>
    <row r="449" spans="1:15" ht="20.25" hidden="1" customHeight="1">
      <c r="A449" s="63">
        <v>443</v>
      </c>
      <c r="B449" s="63">
        <v>15</v>
      </c>
      <c r="C449" s="62" t="s">
        <v>61</v>
      </c>
      <c r="D449" s="65" t="s">
        <v>853</v>
      </c>
      <c r="E449" s="66">
        <v>822.96237594016497</v>
      </c>
      <c r="F449" s="66">
        <v>0.63762699075649998</v>
      </c>
      <c r="G449" s="66">
        <v>1002.4850929640686</v>
      </c>
      <c r="H449" s="66">
        <v>1003.1227199548251</v>
      </c>
      <c r="I449" s="67" t="s">
        <v>123</v>
      </c>
      <c r="J449" s="68">
        <v>4451.53</v>
      </c>
      <c r="K449" s="80"/>
      <c r="L449" s="81"/>
      <c r="M449" s="82">
        <v>0</v>
      </c>
      <c r="N449" s="72" t="s">
        <v>92</v>
      </c>
      <c r="O449" s="64" t="s">
        <v>854</v>
      </c>
    </row>
    <row r="450" spans="1:15" ht="20.25" customHeight="1">
      <c r="A450" s="63">
        <v>444</v>
      </c>
      <c r="B450" s="63">
        <v>16</v>
      </c>
      <c r="C450" s="62" t="s">
        <v>61</v>
      </c>
      <c r="D450" s="65" t="s">
        <v>855</v>
      </c>
      <c r="E450" s="66">
        <v>1217.9298030451835</v>
      </c>
      <c r="F450" s="66">
        <v>0</v>
      </c>
      <c r="G450" s="66">
        <v>1183.4781109508367</v>
      </c>
      <c r="H450" s="66">
        <v>1183.4781109508367</v>
      </c>
      <c r="I450" s="74" t="s">
        <v>104</v>
      </c>
      <c r="J450" s="68">
        <v>1587</v>
      </c>
      <c r="K450" s="69"/>
      <c r="L450" s="79">
        <v>1217.9298030451835</v>
      </c>
      <c r="M450" s="71">
        <v>1217.9298030451835</v>
      </c>
      <c r="N450" s="72" t="s">
        <v>116</v>
      </c>
      <c r="O450" s="64" t="s">
        <v>478</v>
      </c>
    </row>
    <row r="451" spans="1:15" ht="20.25" customHeight="1">
      <c r="A451" s="63">
        <v>445</v>
      </c>
      <c r="B451" s="63">
        <v>17</v>
      </c>
      <c r="C451" s="62" t="s">
        <v>61</v>
      </c>
      <c r="D451" s="65" t="s">
        <v>856</v>
      </c>
      <c r="E451" s="66">
        <v>0</v>
      </c>
      <c r="F451" s="66">
        <v>0</v>
      </c>
      <c r="G451" s="66">
        <v>0</v>
      </c>
      <c r="H451" s="66">
        <v>0</v>
      </c>
      <c r="I451" s="67" t="s">
        <v>104</v>
      </c>
      <c r="J451" s="68">
        <v>16377</v>
      </c>
      <c r="K451" s="69"/>
      <c r="L451" s="79">
        <v>0</v>
      </c>
      <c r="M451" s="71">
        <v>0</v>
      </c>
      <c r="N451" s="72" t="s">
        <v>116</v>
      </c>
      <c r="O451" s="64" t="s">
        <v>682</v>
      </c>
    </row>
    <row r="452" spans="1:15" ht="20.25" customHeight="1">
      <c r="A452" s="63">
        <v>446</v>
      </c>
      <c r="B452" s="63">
        <v>1</v>
      </c>
      <c r="C452" s="64" t="s">
        <v>62</v>
      </c>
      <c r="D452" s="65" t="s">
        <v>857</v>
      </c>
      <c r="E452" s="84">
        <v>4940.0563431770888</v>
      </c>
      <c r="F452" s="66">
        <v>240.12439850518072</v>
      </c>
      <c r="G452" s="66">
        <v>4686.9475096847364</v>
      </c>
      <c r="H452" s="66">
        <v>4927.0719081899169</v>
      </c>
      <c r="I452" s="74" t="s">
        <v>91</v>
      </c>
      <c r="J452" s="68">
        <v>5112.96</v>
      </c>
      <c r="K452" s="69">
        <v>4421</v>
      </c>
      <c r="L452" s="70"/>
      <c r="M452" s="71">
        <v>4421</v>
      </c>
      <c r="N452" s="72" t="s">
        <v>97</v>
      </c>
      <c r="O452" s="64" t="s">
        <v>858</v>
      </c>
    </row>
    <row r="453" spans="1:15" ht="20.25" customHeight="1">
      <c r="A453" s="63">
        <v>447</v>
      </c>
      <c r="B453" s="63">
        <v>2</v>
      </c>
      <c r="C453" s="64" t="s">
        <v>62</v>
      </c>
      <c r="D453" s="65" t="s">
        <v>859</v>
      </c>
      <c r="E453" s="66">
        <v>2261.5249059344965</v>
      </c>
      <c r="F453" s="66">
        <v>1.7722880658747999</v>
      </c>
      <c r="G453" s="66">
        <v>2002.484792608863</v>
      </c>
      <c r="H453" s="66">
        <v>2004.2570806747378</v>
      </c>
      <c r="I453" s="67" t="s">
        <v>91</v>
      </c>
      <c r="J453" s="68">
        <v>2046</v>
      </c>
      <c r="K453" s="69">
        <v>1947</v>
      </c>
      <c r="L453" s="70"/>
      <c r="M453" s="71">
        <v>1947</v>
      </c>
      <c r="N453" s="72" t="s">
        <v>126</v>
      </c>
      <c r="O453" s="64" t="s">
        <v>860</v>
      </c>
    </row>
    <row r="454" spans="1:15" ht="20.25" hidden="1" customHeight="1">
      <c r="A454" s="63">
        <v>448</v>
      </c>
      <c r="B454" s="63">
        <v>3</v>
      </c>
      <c r="C454" s="64" t="s">
        <v>62</v>
      </c>
      <c r="D454" s="65" t="s">
        <v>62</v>
      </c>
      <c r="E454" s="66">
        <v>15217.78771214886</v>
      </c>
      <c r="F454" s="66">
        <v>840.8237205425562</v>
      </c>
      <c r="G454" s="66">
        <v>13454.203730241605</v>
      </c>
      <c r="H454" s="66">
        <v>14295.02745078416</v>
      </c>
      <c r="I454" s="74" t="s">
        <v>123</v>
      </c>
      <c r="J454" s="68">
        <v>0</v>
      </c>
      <c r="K454" s="80"/>
      <c r="L454" s="81"/>
      <c r="M454" s="82">
        <v>0</v>
      </c>
      <c r="N454" s="72" t="s">
        <v>116</v>
      </c>
      <c r="O454" s="64" t="s">
        <v>861</v>
      </c>
    </row>
    <row r="455" spans="1:15" ht="20.25" customHeight="1">
      <c r="A455" s="63">
        <v>449</v>
      </c>
      <c r="B455" s="63">
        <v>4</v>
      </c>
      <c r="C455" s="64" t="s">
        <v>62</v>
      </c>
      <c r="D455" s="65" t="s">
        <v>862</v>
      </c>
      <c r="E455" s="66">
        <v>4760.9958681069966</v>
      </c>
      <c r="F455" s="66">
        <v>255.19013545714196</v>
      </c>
      <c r="G455" s="66">
        <v>4075.4583164069645</v>
      </c>
      <c r="H455" s="66">
        <v>4330.6484518641064</v>
      </c>
      <c r="I455" s="67" t="s">
        <v>91</v>
      </c>
      <c r="J455" s="68">
        <v>5557.51</v>
      </c>
      <c r="K455" s="69">
        <v>4388</v>
      </c>
      <c r="L455" s="75"/>
      <c r="M455" s="71">
        <v>4388</v>
      </c>
      <c r="N455" s="72" t="s">
        <v>97</v>
      </c>
      <c r="O455" s="64" t="s">
        <v>863</v>
      </c>
    </row>
    <row r="456" spans="1:15" ht="20.25" customHeight="1">
      <c r="A456" s="63">
        <v>450</v>
      </c>
      <c r="B456" s="63">
        <v>5</v>
      </c>
      <c r="C456" s="64" t="s">
        <v>62</v>
      </c>
      <c r="D456" s="65" t="s">
        <v>864</v>
      </c>
      <c r="E456" s="66">
        <v>1136.0674068317721</v>
      </c>
      <c r="F456" s="66">
        <v>0.73281637790919796</v>
      </c>
      <c r="G456" s="66">
        <v>760.52767276039094</v>
      </c>
      <c r="H456" s="66">
        <v>761.26048913830016</v>
      </c>
      <c r="I456" s="74" t="s">
        <v>91</v>
      </c>
      <c r="J456" s="68">
        <v>459</v>
      </c>
      <c r="K456" s="69">
        <v>250</v>
      </c>
      <c r="L456" s="70"/>
      <c r="M456" s="71">
        <v>250</v>
      </c>
      <c r="N456" s="72" t="s">
        <v>116</v>
      </c>
      <c r="O456" s="64" t="s">
        <v>385</v>
      </c>
    </row>
    <row r="457" spans="1:15" ht="20.25" customHeight="1">
      <c r="A457" s="63">
        <v>451</v>
      </c>
      <c r="B457" s="63">
        <v>6</v>
      </c>
      <c r="C457" s="64" t="s">
        <v>62</v>
      </c>
      <c r="D457" s="65" t="s">
        <v>865</v>
      </c>
      <c r="E457" s="66">
        <v>4739.4620276536725</v>
      </c>
      <c r="F457" s="66">
        <v>75.411074405749886</v>
      </c>
      <c r="G457" s="66">
        <v>5847.5306507696787</v>
      </c>
      <c r="H457" s="66">
        <v>5922.9417251754285</v>
      </c>
      <c r="I457" s="67" t="s">
        <v>91</v>
      </c>
      <c r="J457" s="68">
        <v>12032.349999999999</v>
      </c>
      <c r="K457" s="69">
        <v>4296</v>
      </c>
      <c r="L457" s="75"/>
      <c r="M457" s="71">
        <v>4296</v>
      </c>
      <c r="N457" s="72" t="s">
        <v>97</v>
      </c>
      <c r="O457" s="64" t="s">
        <v>866</v>
      </c>
    </row>
    <row r="458" spans="1:15" ht="20.25" hidden="1" customHeight="1">
      <c r="A458" s="63">
        <v>452</v>
      </c>
      <c r="B458" s="63">
        <v>1</v>
      </c>
      <c r="C458" s="62" t="s">
        <v>64</v>
      </c>
      <c r="D458" s="65" t="s">
        <v>867</v>
      </c>
      <c r="E458" s="66">
        <v>7327.9536468317128</v>
      </c>
      <c r="F458" s="66">
        <v>0.45989024525599997</v>
      </c>
      <c r="G458" s="66">
        <v>7451.8197475169027</v>
      </c>
      <c r="H458" s="66">
        <v>7452.2796377621589</v>
      </c>
      <c r="I458" s="74" t="s">
        <v>123</v>
      </c>
      <c r="J458" s="68">
        <v>0</v>
      </c>
      <c r="K458" s="80"/>
      <c r="L458" s="81"/>
      <c r="M458" s="82">
        <v>0</v>
      </c>
      <c r="N458" s="72" t="s">
        <v>126</v>
      </c>
      <c r="O458" s="64" t="s">
        <v>868</v>
      </c>
    </row>
    <row r="459" spans="1:15" ht="20.25" hidden="1" customHeight="1">
      <c r="A459" s="63">
        <v>453</v>
      </c>
      <c r="B459" s="63">
        <v>2</v>
      </c>
      <c r="C459" s="62" t="s">
        <v>64</v>
      </c>
      <c r="D459" s="65" t="s">
        <v>869</v>
      </c>
      <c r="E459" s="66">
        <v>0</v>
      </c>
      <c r="F459" s="66">
        <v>0</v>
      </c>
      <c r="G459" s="66">
        <v>0</v>
      </c>
      <c r="H459" s="66">
        <v>0</v>
      </c>
      <c r="I459" s="67" t="s">
        <v>123</v>
      </c>
      <c r="J459" s="68">
        <v>0</v>
      </c>
      <c r="K459" s="80"/>
      <c r="L459" s="81"/>
      <c r="M459" s="82">
        <v>0</v>
      </c>
      <c r="N459" s="72" t="s">
        <v>116</v>
      </c>
      <c r="O459" s="64" t="s">
        <v>870</v>
      </c>
    </row>
    <row r="460" spans="1:15" ht="20.25" customHeight="1">
      <c r="A460" s="63">
        <v>454</v>
      </c>
      <c r="B460" s="63">
        <v>3</v>
      </c>
      <c r="C460" s="62" t="s">
        <v>64</v>
      </c>
      <c r="D460" s="65" t="s">
        <v>871</v>
      </c>
      <c r="E460" s="66">
        <v>0</v>
      </c>
      <c r="F460" s="66">
        <v>0</v>
      </c>
      <c r="G460" s="66">
        <v>0</v>
      </c>
      <c r="H460" s="66">
        <v>0</v>
      </c>
      <c r="I460" s="74" t="s">
        <v>104</v>
      </c>
      <c r="J460" s="68">
        <v>1189</v>
      </c>
      <c r="K460" s="69"/>
      <c r="L460" s="79">
        <v>0</v>
      </c>
      <c r="M460" s="71">
        <v>0</v>
      </c>
      <c r="N460" s="72" t="s">
        <v>116</v>
      </c>
      <c r="O460" s="64" t="s">
        <v>828</v>
      </c>
    </row>
    <row r="461" spans="1:15" ht="20.25" hidden="1" customHeight="1">
      <c r="A461" s="63">
        <v>455</v>
      </c>
      <c r="B461" s="63">
        <v>9</v>
      </c>
      <c r="C461" s="62" t="s">
        <v>64</v>
      </c>
      <c r="D461" s="65" t="s">
        <v>872</v>
      </c>
      <c r="E461" s="66">
        <v>0</v>
      </c>
      <c r="F461" s="66">
        <v>0</v>
      </c>
      <c r="G461" s="66">
        <v>0</v>
      </c>
      <c r="H461" s="66">
        <v>0</v>
      </c>
      <c r="I461" s="67" t="s">
        <v>123</v>
      </c>
      <c r="J461" s="68">
        <v>0</v>
      </c>
      <c r="K461" s="80"/>
      <c r="L461" s="81"/>
      <c r="M461" s="82">
        <v>0</v>
      </c>
      <c r="N461" s="72" t="s">
        <v>126</v>
      </c>
      <c r="O461" s="64" t="s">
        <v>256</v>
      </c>
    </row>
    <row r="462" spans="1:15" ht="20.25" hidden="1" customHeight="1">
      <c r="A462" s="63">
        <v>456</v>
      </c>
      <c r="B462" s="63">
        <v>4</v>
      </c>
      <c r="C462" s="62" t="s">
        <v>64</v>
      </c>
      <c r="D462" s="65" t="s">
        <v>873</v>
      </c>
      <c r="E462" s="66">
        <v>0</v>
      </c>
      <c r="F462" s="66">
        <v>0</v>
      </c>
      <c r="G462" s="66">
        <v>0</v>
      </c>
      <c r="H462" s="66">
        <v>0</v>
      </c>
      <c r="I462" s="74" t="s">
        <v>123</v>
      </c>
      <c r="J462" s="68">
        <v>0</v>
      </c>
      <c r="K462" s="80"/>
      <c r="L462" s="81"/>
      <c r="M462" s="82">
        <v>0</v>
      </c>
      <c r="N462" s="72" t="s">
        <v>116</v>
      </c>
      <c r="O462" s="64" t="s">
        <v>279</v>
      </c>
    </row>
    <row r="463" spans="1:15" ht="20.25" hidden="1" customHeight="1">
      <c r="A463" s="63">
        <v>457</v>
      </c>
      <c r="B463" s="63">
        <v>5</v>
      </c>
      <c r="C463" s="62" t="s">
        <v>64</v>
      </c>
      <c r="D463" s="65" t="s">
        <v>874</v>
      </c>
      <c r="E463" s="66">
        <v>0</v>
      </c>
      <c r="F463" s="66">
        <v>0</v>
      </c>
      <c r="G463" s="66">
        <v>0</v>
      </c>
      <c r="H463" s="66">
        <v>0</v>
      </c>
      <c r="I463" s="67" t="s">
        <v>123</v>
      </c>
      <c r="J463" s="68">
        <v>0</v>
      </c>
      <c r="K463" s="80"/>
      <c r="L463" s="81"/>
      <c r="M463" s="82">
        <v>0</v>
      </c>
      <c r="N463" s="72" t="s">
        <v>116</v>
      </c>
      <c r="O463" s="64" t="s">
        <v>875</v>
      </c>
    </row>
    <row r="464" spans="1:15" ht="20.25" hidden="1" customHeight="1">
      <c r="A464" s="63">
        <v>458</v>
      </c>
      <c r="B464" s="63">
        <v>6</v>
      </c>
      <c r="C464" s="62" t="s">
        <v>64</v>
      </c>
      <c r="D464" s="65" t="s">
        <v>876</v>
      </c>
      <c r="E464" s="66">
        <v>0</v>
      </c>
      <c r="F464" s="66">
        <v>0</v>
      </c>
      <c r="G464" s="66">
        <v>0</v>
      </c>
      <c r="H464" s="66">
        <v>0</v>
      </c>
      <c r="I464" s="74" t="s">
        <v>123</v>
      </c>
      <c r="J464" s="68">
        <v>0</v>
      </c>
      <c r="K464" s="80"/>
      <c r="L464" s="81"/>
      <c r="M464" s="82">
        <v>0</v>
      </c>
      <c r="N464" s="72" t="s">
        <v>126</v>
      </c>
      <c r="O464" s="64" t="s">
        <v>149</v>
      </c>
    </row>
    <row r="465" spans="1:15" ht="20.25" customHeight="1">
      <c r="A465" s="63">
        <v>459</v>
      </c>
      <c r="B465" s="63">
        <v>7</v>
      </c>
      <c r="C465" s="62" t="s">
        <v>64</v>
      </c>
      <c r="D465" s="65" t="s">
        <v>877</v>
      </c>
      <c r="E465" s="66">
        <v>8120.3023945354835</v>
      </c>
      <c r="F465" s="66">
        <v>0</v>
      </c>
      <c r="G465" s="66">
        <v>8353.9938800023046</v>
      </c>
      <c r="H465" s="66">
        <v>8353.9938800023046</v>
      </c>
      <c r="I465" s="67" t="s">
        <v>104</v>
      </c>
      <c r="J465" s="68">
        <v>15000</v>
      </c>
      <c r="K465" s="69"/>
      <c r="L465" s="79">
        <v>8120.3023945354835</v>
      </c>
      <c r="M465" s="71">
        <v>8120.3023945354835</v>
      </c>
      <c r="N465" s="72" t="s">
        <v>116</v>
      </c>
      <c r="O465" s="64" t="s">
        <v>315</v>
      </c>
    </row>
    <row r="466" spans="1:15" ht="20.25" customHeight="1">
      <c r="A466" s="63">
        <v>460</v>
      </c>
      <c r="B466" s="63">
        <v>8</v>
      </c>
      <c r="C466" s="62" t="s">
        <v>64</v>
      </c>
      <c r="D466" s="65" t="s">
        <v>878</v>
      </c>
      <c r="E466" s="66">
        <v>0</v>
      </c>
      <c r="F466" s="66">
        <v>0</v>
      </c>
      <c r="G466" s="66">
        <v>0</v>
      </c>
      <c r="H466" s="66">
        <v>0</v>
      </c>
      <c r="I466" s="74" t="s">
        <v>104</v>
      </c>
      <c r="J466" s="68">
        <v>2840</v>
      </c>
      <c r="K466" s="69"/>
      <c r="L466" s="79">
        <v>0</v>
      </c>
      <c r="M466" s="71">
        <v>0</v>
      </c>
      <c r="N466" s="72" t="s">
        <v>126</v>
      </c>
      <c r="O466" s="64" t="s">
        <v>879</v>
      </c>
    </row>
    <row r="467" spans="1:15" ht="20.25" hidden="1" customHeight="1">
      <c r="A467" s="63">
        <v>461</v>
      </c>
      <c r="B467" s="63">
        <v>10</v>
      </c>
      <c r="C467" s="62" t="s">
        <v>64</v>
      </c>
      <c r="D467" s="65" t="s">
        <v>880</v>
      </c>
      <c r="E467" s="66">
        <v>988.61403650035447</v>
      </c>
      <c r="F467" s="66">
        <v>0</v>
      </c>
      <c r="G467" s="66">
        <v>1058.5397102762067</v>
      </c>
      <c r="H467" s="66">
        <v>1058.5397102762067</v>
      </c>
      <c r="I467" s="67" t="s">
        <v>123</v>
      </c>
      <c r="J467" s="68">
        <v>0</v>
      </c>
      <c r="K467" s="80"/>
      <c r="L467" s="81"/>
      <c r="M467" s="82">
        <v>0</v>
      </c>
      <c r="N467" s="72" t="s">
        <v>126</v>
      </c>
      <c r="O467" s="64" t="s">
        <v>837</v>
      </c>
    </row>
    <row r="468" spans="1:15" ht="20.25" customHeight="1">
      <c r="A468" s="63">
        <v>462</v>
      </c>
      <c r="B468" s="63">
        <v>11</v>
      </c>
      <c r="C468" s="62" t="s">
        <v>64</v>
      </c>
      <c r="D468" s="65" t="s">
        <v>881</v>
      </c>
      <c r="E468" s="66">
        <v>1846.5341213579313</v>
      </c>
      <c r="F468" s="66">
        <v>0</v>
      </c>
      <c r="G468" s="66">
        <v>1095.3142817293242</v>
      </c>
      <c r="H468" s="66">
        <v>1095.3142817293242</v>
      </c>
      <c r="I468" s="74" t="s">
        <v>91</v>
      </c>
      <c r="J468" s="68">
        <v>2440</v>
      </c>
      <c r="K468" s="69">
        <v>1393.3517100306301</v>
      </c>
      <c r="L468" s="70"/>
      <c r="M468" s="71">
        <v>1393.3517100306301</v>
      </c>
      <c r="N468" s="72" t="s">
        <v>97</v>
      </c>
      <c r="O468" s="64" t="s">
        <v>882</v>
      </c>
    </row>
    <row r="469" spans="1:15" ht="20.25" customHeight="1">
      <c r="A469" s="63">
        <v>463</v>
      </c>
      <c r="B469" s="63">
        <v>1</v>
      </c>
      <c r="C469" s="62" t="s">
        <v>65</v>
      </c>
      <c r="D469" s="65" t="s">
        <v>883</v>
      </c>
      <c r="E469" s="66">
        <v>1128.353817535469</v>
      </c>
      <c r="F469" s="66">
        <v>0.69461113286099996</v>
      </c>
      <c r="G469" s="66">
        <v>353.57334654884596</v>
      </c>
      <c r="H469" s="66">
        <v>354.26795768170695</v>
      </c>
      <c r="I469" s="67" t="s">
        <v>104</v>
      </c>
      <c r="J469" s="68">
        <v>16109</v>
      </c>
      <c r="K469" s="69"/>
      <c r="L469" s="79">
        <v>1128.353817535469</v>
      </c>
      <c r="M469" s="71">
        <v>1128.353817535469</v>
      </c>
      <c r="N469" s="72" t="s">
        <v>116</v>
      </c>
      <c r="O469" s="64" t="s">
        <v>884</v>
      </c>
    </row>
    <row r="470" spans="1:15" ht="20.25" customHeight="1">
      <c r="A470" s="63">
        <v>464</v>
      </c>
      <c r="B470" s="63">
        <v>2</v>
      </c>
      <c r="C470" s="62" t="s">
        <v>65</v>
      </c>
      <c r="D470" s="65" t="s">
        <v>885</v>
      </c>
      <c r="E470" s="66">
        <v>1089.8789091788151</v>
      </c>
      <c r="F470" s="66">
        <v>5.8064608235789912</v>
      </c>
      <c r="G470" s="66">
        <v>200.43586094109691</v>
      </c>
      <c r="H470" s="66">
        <v>206.24232176467589</v>
      </c>
      <c r="I470" s="74" t="s">
        <v>104</v>
      </c>
      <c r="J470" s="68">
        <v>9943.9499999999989</v>
      </c>
      <c r="K470" s="69"/>
      <c r="L470" s="79">
        <v>1089.8789091788151</v>
      </c>
      <c r="M470" s="71">
        <v>1089.8789091788151</v>
      </c>
      <c r="N470" s="72" t="s">
        <v>116</v>
      </c>
      <c r="O470" s="64" t="s">
        <v>850</v>
      </c>
    </row>
    <row r="471" spans="1:15" ht="20.25" customHeight="1">
      <c r="A471" s="63">
        <v>465</v>
      </c>
      <c r="B471" s="63">
        <v>3</v>
      </c>
      <c r="C471" s="62" t="s">
        <v>65</v>
      </c>
      <c r="D471" s="65" t="s">
        <v>886</v>
      </c>
      <c r="E471" s="66">
        <v>1513.2007056730074</v>
      </c>
      <c r="F471" s="66">
        <v>4.0465094390720004</v>
      </c>
      <c r="G471" s="66">
        <v>1019.2114805141958</v>
      </c>
      <c r="H471" s="66">
        <v>1023.2579899532678</v>
      </c>
      <c r="I471" s="67" t="s">
        <v>104</v>
      </c>
      <c r="J471" s="68">
        <v>3609.25</v>
      </c>
      <c r="K471" s="69"/>
      <c r="L471" s="79">
        <v>1513.2007056730074</v>
      </c>
      <c r="M471" s="71">
        <v>1513.2007056730074</v>
      </c>
      <c r="N471" s="72" t="s">
        <v>116</v>
      </c>
      <c r="O471" s="64" t="s">
        <v>315</v>
      </c>
    </row>
    <row r="472" spans="1:15" ht="20.25" customHeight="1">
      <c r="A472" s="63">
        <v>466</v>
      </c>
      <c r="B472" s="63">
        <v>4</v>
      </c>
      <c r="C472" s="62" t="s">
        <v>65</v>
      </c>
      <c r="D472" s="65" t="s">
        <v>887</v>
      </c>
      <c r="E472" s="66">
        <v>5913.6504879848308</v>
      </c>
      <c r="F472" s="66">
        <v>34.023028897652722</v>
      </c>
      <c r="G472" s="66">
        <v>3638.2398899873547</v>
      </c>
      <c r="H472" s="66">
        <v>3672.2629188850074</v>
      </c>
      <c r="I472" s="74" t="s">
        <v>104</v>
      </c>
      <c r="J472" s="68">
        <v>2128</v>
      </c>
      <c r="K472" s="69"/>
      <c r="L472" s="79">
        <v>2128</v>
      </c>
      <c r="M472" s="71">
        <v>2128</v>
      </c>
      <c r="N472" s="72" t="s">
        <v>116</v>
      </c>
      <c r="O472" s="64" t="s">
        <v>323</v>
      </c>
    </row>
    <row r="473" spans="1:15" ht="20.25" customHeight="1">
      <c r="A473" s="63">
        <v>467</v>
      </c>
      <c r="B473" s="63">
        <v>5</v>
      </c>
      <c r="C473" s="62" t="s">
        <v>65</v>
      </c>
      <c r="D473" s="65" t="s">
        <v>888</v>
      </c>
      <c r="E473" s="66">
        <v>1820.5066075184188</v>
      </c>
      <c r="F473" s="66">
        <v>0</v>
      </c>
      <c r="G473" s="66">
        <v>1204.3465406354183</v>
      </c>
      <c r="H473" s="66">
        <v>1204.3465406354183</v>
      </c>
      <c r="I473" s="67" t="s">
        <v>91</v>
      </c>
      <c r="J473" s="68">
        <v>1640.66</v>
      </c>
      <c r="K473" s="69">
        <v>1625</v>
      </c>
      <c r="L473" s="70"/>
      <c r="M473" s="71">
        <v>1625</v>
      </c>
      <c r="N473" s="72" t="s">
        <v>92</v>
      </c>
      <c r="O473" s="64" t="s">
        <v>889</v>
      </c>
    </row>
    <row r="474" spans="1:15" ht="20.25" hidden="1" customHeight="1">
      <c r="A474" s="63">
        <v>468</v>
      </c>
      <c r="B474" s="63">
        <v>6</v>
      </c>
      <c r="C474" s="62" t="s">
        <v>65</v>
      </c>
      <c r="D474" s="65" t="s">
        <v>890</v>
      </c>
      <c r="E474" s="66">
        <v>75.132334811553008</v>
      </c>
      <c r="F474" s="66">
        <v>0</v>
      </c>
      <c r="G474" s="66">
        <v>11.003000226467</v>
      </c>
      <c r="H474" s="66">
        <v>11.003000226467</v>
      </c>
      <c r="I474" s="74" t="s">
        <v>123</v>
      </c>
      <c r="J474" s="68">
        <v>0</v>
      </c>
      <c r="K474" s="80"/>
      <c r="L474" s="81"/>
      <c r="M474" s="82">
        <v>0</v>
      </c>
      <c r="N474" s="72" t="s">
        <v>116</v>
      </c>
      <c r="O474" s="64" t="s">
        <v>631</v>
      </c>
    </row>
    <row r="475" spans="1:15" ht="20.25" hidden="1" customHeight="1">
      <c r="A475" s="63">
        <v>469</v>
      </c>
      <c r="B475" s="63">
        <v>7</v>
      </c>
      <c r="C475" s="62" t="s">
        <v>65</v>
      </c>
      <c r="D475" s="65" t="s">
        <v>891</v>
      </c>
      <c r="E475" s="66">
        <v>0</v>
      </c>
      <c r="F475" s="66">
        <v>0</v>
      </c>
      <c r="G475" s="66">
        <v>0</v>
      </c>
      <c r="H475" s="66">
        <v>0</v>
      </c>
      <c r="I475" s="67" t="s">
        <v>123</v>
      </c>
      <c r="J475" s="68">
        <v>0</v>
      </c>
      <c r="K475" s="80"/>
      <c r="L475" s="81"/>
      <c r="M475" s="82">
        <v>0</v>
      </c>
      <c r="N475" s="72" t="s">
        <v>116</v>
      </c>
      <c r="O475" s="64" t="s">
        <v>588</v>
      </c>
    </row>
    <row r="476" spans="1:15" ht="20.25" hidden="1" customHeight="1">
      <c r="A476" s="63">
        <v>470</v>
      </c>
      <c r="B476" s="63">
        <v>8</v>
      </c>
      <c r="C476" s="62" t="s">
        <v>65</v>
      </c>
      <c r="D476" s="65" t="s">
        <v>892</v>
      </c>
      <c r="E476" s="66">
        <v>447.91119367512329</v>
      </c>
      <c r="F476" s="66">
        <v>0</v>
      </c>
      <c r="G476" s="66">
        <v>0</v>
      </c>
      <c r="H476" s="66">
        <v>0</v>
      </c>
      <c r="I476" s="74" t="s">
        <v>123</v>
      </c>
      <c r="J476" s="68">
        <v>0</v>
      </c>
      <c r="K476" s="80"/>
      <c r="L476" s="81"/>
      <c r="M476" s="82">
        <v>0</v>
      </c>
      <c r="N476" s="72" t="s">
        <v>116</v>
      </c>
      <c r="O476" s="64" t="s">
        <v>893</v>
      </c>
    </row>
    <row r="477" spans="1:15" ht="20.25" customHeight="1">
      <c r="A477" s="63">
        <v>471</v>
      </c>
      <c r="B477" s="63">
        <v>9</v>
      </c>
      <c r="C477" s="62" t="s">
        <v>65</v>
      </c>
      <c r="D477" s="65" t="s">
        <v>894</v>
      </c>
      <c r="E477" s="66">
        <v>1369.0081705637426</v>
      </c>
      <c r="F477" s="66">
        <v>0</v>
      </c>
      <c r="G477" s="66">
        <v>715.23758491226363</v>
      </c>
      <c r="H477" s="66">
        <v>715.23758491226363</v>
      </c>
      <c r="I477" s="67" t="s">
        <v>91</v>
      </c>
      <c r="J477" s="68">
        <v>31510.355</v>
      </c>
      <c r="K477" s="69">
        <v>1358.6451509999999</v>
      </c>
      <c r="L477" s="70"/>
      <c r="M477" s="71">
        <v>1358.6451509999999</v>
      </c>
      <c r="N477" s="72" t="s">
        <v>126</v>
      </c>
      <c r="O477" s="64" t="s">
        <v>153</v>
      </c>
    </row>
    <row r="478" spans="1:15" ht="20.25" hidden="1" customHeight="1">
      <c r="A478" s="63">
        <v>472</v>
      </c>
      <c r="B478" s="63">
        <v>10</v>
      </c>
      <c r="C478" s="62" t="s">
        <v>65</v>
      </c>
      <c r="D478" s="65" t="s">
        <v>895</v>
      </c>
      <c r="E478" s="66">
        <v>184.79708392895108</v>
      </c>
      <c r="F478" s="66">
        <v>0</v>
      </c>
      <c r="G478" s="66">
        <v>0</v>
      </c>
      <c r="H478" s="66">
        <v>0</v>
      </c>
      <c r="I478" s="74" t="s">
        <v>123</v>
      </c>
      <c r="J478" s="68">
        <v>0</v>
      </c>
      <c r="K478" s="80"/>
      <c r="L478" s="81"/>
      <c r="M478" s="82">
        <v>0</v>
      </c>
      <c r="N478" s="72" t="s">
        <v>116</v>
      </c>
      <c r="O478" s="64" t="s">
        <v>200</v>
      </c>
    </row>
    <row r="479" spans="1:15" ht="20.25" hidden="1" customHeight="1">
      <c r="A479" s="63">
        <v>473</v>
      </c>
      <c r="B479" s="63">
        <v>1</v>
      </c>
      <c r="C479" s="64" t="s">
        <v>66</v>
      </c>
      <c r="D479" s="65" t="s">
        <v>896</v>
      </c>
      <c r="E479" s="84">
        <v>239.0581941179</v>
      </c>
      <c r="F479" s="66">
        <v>0</v>
      </c>
      <c r="G479" s="66">
        <v>90.859470529299998</v>
      </c>
      <c r="H479" s="66">
        <v>90.859470529299998</v>
      </c>
      <c r="I479" s="67" t="s">
        <v>123</v>
      </c>
      <c r="J479" s="68">
        <v>0</v>
      </c>
      <c r="K479" s="80"/>
      <c r="L479" s="81"/>
      <c r="M479" s="82">
        <v>0</v>
      </c>
      <c r="N479" s="72" t="s">
        <v>116</v>
      </c>
      <c r="O479" s="64" t="s">
        <v>223</v>
      </c>
    </row>
    <row r="480" spans="1:15" ht="20.25" customHeight="1">
      <c r="A480" s="63">
        <v>474</v>
      </c>
      <c r="B480" s="63">
        <v>2</v>
      </c>
      <c r="C480" s="64" t="s">
        <v>66</v>
      </c>
      <c r="D480" s="65" t="s">
        <v>897</v>
      </c>
      <c r="E480" s="84">
        <v>0</v>
      </c>
      <c r="F480" s="66">
        <v>0</v>
      </c>
      <c r="G480" s="66">
        <v>0</v>
      </c>
      <c r="H480" s="66">
        <v>0</v>
      </c>
      <c r="I480" s="74" t="s">
        <v>104</v>
      </c>
      <c r="J480" s="68">
        <v>7518</v>
      </c>
      <c r="K480" s="69"/>
      <c r="L480" s="79">
        <v>0</v>
      </c>
      <c r="M480" s="71">
        <v>0</v>
      </c>
      <c r="N480" s="72" t="s">
        <v>116</v>
      </c>
      <c r="O480" s="64" t="s">
        <v>153</v>
      </c>
    </row>
    <row r="481" spans="1:15" ht="20.25" customHeight="1">
      <c r="A481" s="63">
        <v>475</v>
      </c>
      <c r="B481" s="63">
        <v>3</v>
      </c>
      <c r="C481" s="64" t="s">
        <v>66</v>
      </c>
      <c r="D481" s="65" t="s">
        <v>898</v>
      </c>
      <c r="E481" s="66">
        <v>3567.6698235081158</v>
      </c>
      <c r="F481" s="66">
        <v>10.921081658666765</v>
      </c>
      <c r="G481" s="66">
        <v>1523.9808769256911</v>
      </c>
      <c r="H481" s="66">
        <v>1534.9019585843578</v>
      </c>
      <c r="I481" s="67" t="s">
        <v>104</v>
      </c>
      <c r="J481" s="68">
        <v>4417</v>
      </c>
      <c r="K481" s="69"/>
      <c r="L481" s="79">
        <v>3567.6698235081158</v>
      </c>
      <c r="M481" s="71">
        <v>3567.6698235081158</v>
      </c>
      <c r="N481" s="72" t="s">
        <v>116</v>
      </c>
      <c r="O481" s="64" t="s">
        <v>899</v>
      </c>
    </row>
    <row r="482" spans="1:15" ht="20.25" hidden="1" customHeight="1">
      <c r="A482" s="63">
        <v>476</v>
      </c>
      <c r="B482" s="63">
        <v>4</v>
      </c>
      <c r="C482" s="64" t="s">
        <v>66</v>
      </c>
      <c r="D482" s="65" t="s">
        <v>900</v>
      </c>
      <c r="E482" s="66">
        <v>864.9572108727408</v>
      </c>
      <c r="F482" s="66">
        <v>0</v>
      </c>
      <c r="G482" s="66">
        <v>591.63391962150183</v>
      </c>
      <c r="H482" s="66">
        <v>591.63391962150183</v>
      </c>
      <c r="I482" s="74" t="s">
        <v>123</v>
      </c>
      <c r="J482" s="68" t="s">
        <v>394</v>
      </c>
      <c r="K482" s="80"/>
      <c r="L482" s="81"/>
      <c r="M482" s="82">
        <v>0</v>
      </c>
      <c r="N482" s="72"/>
      <c r="O482" s="64" t="s">
        <v>394</v>
      </c>
    </row>
    <row r="483" spans="1:15" ht="20.25" hidden="1" customHeight="1">
      <c r="A483" s="63">
        <v>477</v>
      </c>
      <c r="B483" s="63">
        <v>5</v>
      </c>
      <c r="C483" s="64" t="s">
        <v>66</v>
      </c>
      <c r="D483" s="65" t="s">
        <v>901</v>
      </c>
      <c r="E483" s="66"/>
      <c r="F483" s="66">
        <v>0</v>
      </c>
      <c r="G483" s="66">
        <v>0</v>
      </c>
      <c r="H483" s="66">
        <v>0</v>
      </c>
      <c r="I483" s="67" t="s">
        <v>661</v>
      </c>
      <c r="J483" s="68" t="s">
        <v>394</v>
      </c>
      <c r="K483" s="80"/>
      <c r="L483" s="81"/>
      <c r="M483" s="82">
        <v>0</v>
      </c>
      <c r="N483" s="72"/>
      <c r="O483" s="64" t="s">
        <v>394</v>
      </c>
    </row>
    <row r="484" spans="1:15" ht="20.25" customHeight="1">
      <c r="A484" s="63">
        <v>478</v>
      </c>
      <c r="B484" s="63">
        <v>6</v>
      </c>
      <c r="C484" s="64" t="s">
        <v>66</v>
      </c>
      <c r="D484" s="65" t="s">
        <v>902</v>
      </c>
      <c r="E484" s="66">
        <v>582.95501621373182</v>
      </c>
      <c r="F484" s="66">
        <v>0</v>
      </c>
      <c r="G484" s="66">
        <v>266.11828293536468</v>
      </c>
      <c r="H484" s="66">
        <v>266.11828293536468</v>
      </c>
      <c r="I484" s="74" t="s">
        <v>104</v>
      </c>
      <c r="J484" s="68">
        <v>3101</v>
      </c>
      <c r="K484" s="69"/>
      <c r="L484" s="79">
        <v>582.95501621373182</v>
      </c>
      <c r="M484" s="71">
        <v>582.95501621373182</v>
      </c>
      <c r="N484" s="72" t="s">
        <v>116</v>
      </c>
      <c r="O484" s="64" t="s">
        <v>225</v>
      </c>
    </row>
    <row r="485" spans="1:15" ht="20.25" customHeight="1">
      <c r="A485" s="63">
        <v>479</v>
      </c>
      <c r="B485" s="63">
        <v>7</v>
      </c>
      <c r="C485" s="64" t="s">
        <v>66</v>
      </c>
      <c r="D485" s="65" t="s">
        <v>903</v>
      </c>
      <c r="E485" s="66">
        <v>141.61748764726701</v>
      </c>
      <c r="F485" s="66">
        <v>0.60001821371200004</v>
      </c>
      <c r="G485" s="66">
        <v>119.75078323011529</v>
      </c>
      <c r="H485" s="66">
        <v>120.35080144382729</v>
      </c>
      <c r="I485" s="67" t="s">
        <v>104</v>
      </c>
      <c r="J485" s="68">
        <v>49010</v>
      </c>
      <c r="K485" s="69"/>
      <c r="L485" s="79">
        <v>141.61748764726701</v>
      </c>
      <c r="M485" s="71">
        <v>141.61748764726701</v>
      </c>
      <c r="N485" s="72" t="s">
        <v>116</v>
      </c>
      <c r="O485" s="64" t="s">
        <v>323</v>
      </c>
    </row>
    <row r="486" spans="1:15" ht="20.25" hidden="1" customHeight="1">
      <c r="A486" s="63">
        <v>480</v>
      </c>
      <c r="B486" s="63">
        <v>1</v>
      </c>
      <c r="C486" s="64" t="s">
        <v>67</v>
      </c>
      <c r="D486" s="65" t="s">
        <v>904</v>
      </c>
      <c r="E486" s="84">
        <v>22.899135048183002</v>
      </c>
      <c r="F486" s="66">
        <v>0</v>
      </c>
      <c r="G486" s="66">
        <v>0</v>
      </c>
      <c r="H486" s="66">
        <v>0</v>
      </c>
      <c r="I486" s="74" t="s">
        <v>123</v>
      </c>
      <c r="J486" s="68" t="s">
        <v>394</v>
      </c>
      <c r="K486" s="80"/>
      <c r="L486" s="81"/>
      <c r="M486" s="82">
        <v>0</v>
      </c>
      <c r="N486" s="72"/>
      <c r="O486" s="64" t="s">
        <v>394</v>
      </c>
    </row>
    <row r="487" spans="1:15" ht="20.25" hidden="1" customHeight="1">
      <c r="A487" s="63">
        <v>481</v>
      </c>
      <c r="B487" s="63">
        <v>2</v>
      </c>
      <c r="C487" s="64" t="s">
        <v>67</v>
      </c>
      <c r="D487" s="65" t="s">
        <v>905</v>
      </c>
      <c r="E487" s="66"/>
      <c r="F487" s="66">
        <v>0</v>
      </c>
      <c r="G487" s="66">
        <v>0</v>
      </c>
      <c r="H487" s="66">
        <v>0</v>
      </c>
      <c r="I487" s="67" t="s">
        <v>661</v>
      </c>
      <c r="J487" s="68" t="s">
        <v>394</v>
      </c>
      <c r="K487" s="80"/>
      <c r="L487" s="81"/>
      <c r="M487" s="82">
        <v>0</v>
      </c>
      <c r="N487" s="72"/>
      <c r="O487" s="64" t="s">
        <v>394</v>
      </c>
    </row>
    <row r="488" spans="1:15" ht="20.25" hidden="1" customHeight="1">
      <c r="A488" s="63">
        <v>482</v>
      </c>
      <c r="B488" s="63">
        <v>3</v>
      </c>
      <c r="C488" s="64" t="s">
        <v>67</v>
      </c>
      <c r="D488" s="65" t="s">
        <v>906</v>
      </c>
      <c r="E488" s="66">
        <v>219.25439918735003</v>
      </c>
      <c r="F488" s="66">
        <v>67.776940180952209</v>
      </c>
      <c r="G488" s="66">
        <v>119.39564626482482</v>
      </c>
      <c r="H488" s="66">
        <v>187.17258644577703</v>
      </c>
      <c r="I488" s="74" t="s">
        <v>123</v>
      </c>
      <c r="J488" s="68">
        <v>0</v>
      </c>
      <c r="K488" s="80"/>
      <c r="L488" s="81"/>
      <c r="M488" s="82">
        <v>0</v>
      </c>
      <c r="N488" s="72" t="s">
        <v>116</v>
      </c>
      <c r="O488" s="64" t="s">
        <v>828</v>
      </c>
    </row>
    <row r="489" spans="1:15" ht="20.25" customHeight="1">
      <c r="A489" s="63">
        <v>483</v>
      </c>
      <c r="B489" s="63">
        <v>4</v>
      </c>
      <c r="C489" s="64" t="s">
        <v>67</v>
      </c>
      <c r="D489" s="65" t="s">
        <v>907</v>
      </c>
      <c r="E489" s="66">
        <v>2985.7051496828321</v>
      </c>
      <c r="F489" s="66">
        <v>17.6125874126</v>
      </c>
      <c r="G489" s="66">
        <v>237.29538939976354</v>
      </c>
      <c r="H489" s="66">
        <v>254.90797681236353</v>
      </c>
      <c r="I489" s="67" t="s">
        <v>104</v>
      </c>
      <c r="J489" s="68">
        <v>6476</v>
      </c>
      <c r="K489" s="69"/>
      <c r="L489" s="79">
        <v>2985.7051496828321</v>
      </c>
      <c r="M489" s="71">
        <v>2985.7051496828321</v>
      </c>
      <c r="N489" s="72" t="s">
        <v>116</v>
      </c>
      <c r="O489" s="64" t="s">
        <v>552</v>
      </c>
    </row>
    <row r="490" spans="1:15" ht="20.25" hidden="1" customHeight="1">
      <c r="A490" s="63">
        <v>484</v>
      </c>
      <c r="B490" s="63">
        <v>5</v>
      </c>
      <c r="C490" s="64" t="s">
        <v>67</v>
      </c>
      <c r="D490" s="65" t="s">
        <v>908</v>
      </c>
      <c r="E490" s="66">
        <v>235.71907861733564</v>
      </c>
      <c r="F490" s="66">
        <v>0.155207782824232</v>
      </c>
      <c r="G490" s="66">
        <v>16.247435686199999</v>
      </c>
      <c r="H490" s="66">
        <v>16.40264346902423</v>
      </c>
      <c r="I490" s="74" t="s">
        <v>661</v>
      </c>
      <c r="J490" s="68" t="s">
        <v>394</v>
      </c>
      <c r="K490" s="80"/>
      <c r="L490" s="81"/>
      <c r="M490" s="82">
        <v>0</v>
      </c>
      <c r="N490" s="72"/>
      <c r="O490" s="64" t="s">
        <v>394</v>
      </c>
    </row>
    <row r="491" spans="1:15" ht="20.25" hidden="1" customHeight="1">
      <c r="A491" s="63">
        <v>485</v>
      </c>
      <c r="B491" s="63">
        <v>6</v>
      </c>
      <c r="C491" s="64" t="s">
        <v>67</v>
      </c>
      <c r="D491" s="65" t="s">
        <v>909</v>
      </c>
      <c r="E491" s="66"/>
      <c r="F491" s="66">
        <v>13.618139327268199</v>
      </c>
      <c r="G491" s="66">
        <v>0</v>
      </c>
      <c r="H491" s="66">
        <v>13.618139327268199</v>
      </c>
      <c r="I491" s="67" t="s">
        <v>123</v>
      </c>
      <c r="J491" s="68" t="s">
        <v>394</v>
      </c>
      <c r="K491" s="80"/>
      <c r="L491" s="81"/>
      <c r="M491" s="82">
        <v>0</v>
      </c>
      <c r="N491" s="72"/>
      <c r="O491" s="64" t="s">
        <v>394</v>
      </c>
    </row>
    <row r="492" spans="1:15" ht="20.25" hidden="1" customHeight="1">
      <c r="A492" s="63">
        <v>486</v>
      </c>
      <c r="B492" s="63">
        <v>1</v>
      </c>
      <c r="C492" s="64" t="s">
        <v>71</v>
      </c>
      <c r="D492" s="65" t="s">
        <v>910</v>
      </c>
      <c r="E492" s="84"/>
      <c r="F492" s="66">
        <v>0</v>
      </c>
      <c r="G492" s="66">
        <v>0</v>
      </c>
      <c r="H492" s="66">
        <v>0</v>
      </c>
      <c r="I492" s="74" t="s">
        <v>123</v>
      </c>
      <c r="J492" s="68" t="s">
        <v>394</v>
      </c>
      <c r="K492" s="80"/>
      <c r="L492" s="81"/>
      <c r="M492" s="82">
        <v>0</v>
      </c>
      <c r="N492" s="72"/>
      <c r="O492" s="64" t="s">
        <v>394</v>
      </c>
    </row>
    <row r="493" spans="1:15" ht="20.25" hidden="1" customHeight="1">
      <c r="A493" s="63">
        <v>487</v>
      </c>
      <c r="B493" s="63">
        <v>2</v>
      </c>
      <c r="C493" s="64" t="s">
        <v>71</v>
      </c>
      <c r="D493" s="65" t="s">
        <v>911</v>
      </c>
      <c r="E493" s="66">
        <v>826.5201722237457</v>
      </c>
      <c r="F493" s="66">
        <v>0</v>
      </c>
      <c r="G493" s="66">
        <v>324.17378706837599</v>
      </c>
      <c r="H493" s="66">
        <v>324.17378706837599</v>
      </c>
      <c r="I493" s="67" t="s">
        <v>123</v>
      </c>
      <c r="J493" s="68">
        <v>0</v>
      </c>
      <c r="K493" s="80"/>
      <c r="L493" s="81"/>
      <c r="M493" s="82">
        <v>0</v>
      </c>
      <c r="N493" s="72" t="s">
        <v>126</v>
      </c>
      <c r="O493" s="64" t="s">
        <v>837</v>
      </c>
    </row>
    <row r="494" spans="1:15" ht="20.25" hidden="1" customHeight="1">
      <c r="A494" s="63">
        <v>488</v>
      </c>
      <c r="B494" s="63">
        <v>3</v>
      </c>
      <c r="C494" s="64" t="s">
        <v>71</v>
      </c>
      <c r="D494" s="65" t="s">
        <v>912</v>
      </c>
      <c r="E494" s="66">
        <v>920.37385353103991</v>
      </c>
      <c r="F494" s="66">
        <v>0</v>
      </c>
      <c r="G494" s="66">
        <v>919.57541739909993</v>
      </c>
      <c r="H494" s="66">
        <v>919.57541739909993</v>
      </c>
      <c r="I494" s="74" t="s">
        <v>123</v>
      </c>
      <c r="J494" s="68">
        <v>0</v>
      </c>
      <c r="K494" s="80"/>
      <c r="L494" s="81"/>
      <c r="M494" s="82">
        <v>0</v>
      </c>
      <c r="N494" s="72" t="s">
        <v>116</v>
      </c>
      <c r="O494" s="64" t="s">
        <v>913</v>
      </c>
    </row>
    <row r="495" spans="1:15" ht="20.25" hidden="1" customHeight="1">
      <c r="A495" s="63">
        <v>489</v>
      </c>
      <c r="B495" s="63">
        <v>4</v>
      </c>
      <c r="C495" s="64" t="s">
        <v>71</v>
      </c>
      <c r="D495" s="65" t="s">
        <v>914</v>
      </c>
      <c r="E495" s="66"/>
      <c r="F495" s="66">
        <v>0</v>
      </c>
      <c r="G495" s="66">
        <v>4.6365980028663998</v>
      </c>
      <c r="H495" s="66">
        <v>4.6365980028663998</v>
      </c>
      <c r="I495" s="67" t="s">
        <v>123</v>
      </c>
      <c r="J495" s="68">
        <v>0</v>
      </c>
      <c r="K495" s="80"/>
      <c r="L495" s="81"/>
      <c r="M495" s="82">
        <v>0</v>
      </c>
      <c r="N495" s="72" t="s">
        <v>116</v>
      </c>
      <c r="O495" s="64" t="s">
        <v>915</v>
      </c>
    </row>
    <row r="496" spans="1:15" ht="20.25" hidden="1" customHeight="1">
      <c r="A496" s="63">
        <v>490</v>
      </c>
      <c r="B496" s="63">
        <v>5</v>
      </c>
      <c r="C496" s="64" t="s">
        <v>71</v>
      </c>
      <c r="D496" s="65" t="s">
        <v>916</v>
      </c>
      <c r="E496" s="66">
        <v>897.11973109985149</v>
      </c>
      <c r="F496" s="66">
        <v>0</v>
      </c>
      <c r="G496" s="66">
        <v>326.47912898503</v>
      </c>
      <c r="H496" s="66">
        <v>326.47912898503</v>
      </c>
      <c r="I496" s="74" t="s">
        <v>123</v>
      </c>
      <c r="J496" s="68">
        <v>0</v>
      </c>
      <c r="K496" s="80"/>
      <c r="L496" s="81"/>
      <c r="M496" s="82">
        <v>0</v>
      </c>
      <c r="N496" s="72" t="s">
        <v>116</v>
      </c>
      <c r="O496" s="64" t="s">
        <v>321</v>
      </c>
    </row>
    <row r="497" spans="1:15" ht="20.25" hidden="1" customHeight="1">
      <c r="A497" s="63">
        <v>491</v>
      </c>
      <c r="B497" s="63">
        <v>6</v>
      </c>
      <c r="C497" s="64" t="s">
        <v>71</v>
      </c>
      <c r="D497" s="65" t="s">
        <v>917</v>
      </c>
      <c r="E497" s="66"/>
      <c r="F497" s="66">
        <v>0</v>
      </c>
      <c r="G497" s="66">
        <v>25.748127272969999</v>
      </c>
      <c r="H497" s="66">
        <v>25.748127272969999</v>
      </c>
      <c r="I497" s="67" t="s">
        <v>123</v>
      </c>
      <c r="J497" s="68">
        <v>0</v>
      </c>
      <c r="K497" s="80"/>
      <c r="L497" s="81"/>
      <c r="M497" s="82">
        <v>0</v>
      </c>
      <c r="N497" s="72" t="s">
        <v>116</v>
      </c>
      <c r="O497" s="64" t="s">
        <v>918</v>
      </c>
    </row>
    <row r="498" spans="1:15" ht="20.25" hidden="1" customHeight="1">
      <c r="A498" s="63">
        <v>492</v>
      </c>
      <c r="B498" s="63">
        <v>7</v>
      </c>
      <c r="C498" s="64" t="s">
        <v>71</v>
      </c>
      <c r="D498" s="65" t="s">
        <v>919</v>
      </c>
      <c r="E498" s="66">
        <v>251.15996419909499</v>
      </c>
      <c r="F498" s="66">
        <v>0</v>
      </c>
      <c r="G498" s="66">
        <v>174.85773603662801</v>
      </c>
      <c r="H498" s="66">
        <v>174.85773603662801</v>
      </c>
      <c r="I498" s="74" t="s">
        <v>123</v>
      </c>
      <c r="J498" s="68">
        <v>0</v>
      </c>
      <c r="K498" s="80"/>
      <c r="L498" s="81"/>
      <c r="M498" s="82">
        <v>0</v>
      </c>
      <c r="N498" s="72" t="s">
        <v>116</v>
      </c>
      <c r="O498" s="64" t="s">
        <v>167</v>
      </c>
    </row>
    <row r="499" spans="1:15" ht="20.25" hidden="1" customHeight="1">
      <c r="A499" s="63">
        <v>493</v>
      </c>
      <c r="B499" s="63">
        <v>8</v>
      </c>
      <c r="C499" s="64" t="s">
        <v>71</v>
      </c>
      <c r="D499" s="65" t="s">
        <v>920</v>
      </c>
      <c r="E499" s="66"/>
      <c r="F499" s="66">
        <v>0</v>
      </c>
      <c r="G499" s="66">
        <v>3.1064027441499995</v>
      </c>
      <c r="H499" s="66">
        <v>3.1064027441499995</v>
      </c>
      <c r="I499" s="67" t="s">
        <v>123</v>
      </c>
      <c r="J499" s="68" t="s">
        <v>394</v>
      </c>
      <c r="K499" s="80"/>
      <c r="L499" s="81"/>
      <c r="M499" s="82">
        <v>0</v>
      </c>
      <c r="N499" s="72"/>
      <c r="O499" s="64" t="s">
        <v>394</v>
      </c>
    </row>
    <row r="500" spans="1:15" ht="20.25" customHeight="1">
      <c r="A500" s="63">
        <v>494</v>
      </c>
      <c r="B500" s="63">
        <v>9</v>
      </c>
      <c r="C500" s="64" t="s">
        <v>71</v>
      </c>
      <c r="D500" s="65" t="s">
        <v>921</v>
      </c>
      <c r="E500" s="66">
        <v>21.27320218805</v>
      </c>
      <c r="F500" s="66">
        <v>0</v>
      </c>
      <c r="G500" s="66">
        <v>28.1939101191</v>
      </c>
      <c r="H500" s="66">
        <v>28.1939101191</v>
      </c>
      <c r="I500" s="74" t="s">
        <v>104</v>
      </c>
      <c r="J500" s="68">
        <v>117849</v>
      </c>
      <c r="K500" s="69"/>
      <c r="L500" s="79">
        <v>21.27320218805</v>
      </c>
      <c r="M500" s="71">
        <v>21.27320218805</v>
      </c>
      <c r="N500" s="72" t="s">
        <v>116</v>
      </c>
      <c r="O500" s="64" t="s">
        <v>315</v>
      </c>
    </row>
    <row r="501" spans="1:15" ht="20.25" hidden="1" customHeight="1">
      <c r="A501" s="63">
        <v>495</v>
      </c>
      <c r="B501" s="63">
        <v>1</v>
      </c>
      <c r="C501" s="64" t="s">
        <v>68</v>
      </c>
      <c r="D501" s="65" t="s">
        <v>922</v>
      </c>
      <c r="E501" s="66">
        <v>391.18495353980893</v>
      </c>
      <c r="F501" s="66">
        <v>0</v>
      </c>
      <c r="G501" s="66">
        <v>899.51515064208695</v>
      </c>
      <c r="H501" s="66">
        <v>899.51515064208695</v>
      </c>
      <c r="I501" s="67" t="s">
        <v>123</v>
      </c>
      <c r="J501" s="68" t="s">
        <v>394</v>
      </c>
      <c r="K501" s="80"/>
      <c r="L501" s="81"/>
      <c r="M501" s="82">
        <v>0</v>
      </c>
      <c r="N501" s="72"/>
      <c r="O501" s="64" t="s">
        <v>394</v>
      </c>
    </row>
    <row r="502" spans="1:15" ht="20.25" hidden="1" customHeight="1">
      <c r="A502" s="63">
        <v>496</v>
      </c>
      <c r="B502" s="63">
        <v>2</v>
      </c>
      <c r="C502" s="64" t="s">
        <v>68</v>
      </c>
      <c r="D502" s="65" t="s">
        <v>923</v>
      </c>
      <c r="E502" s="66"/>
      <c r="F502" s="66">
        <v>0</v>
      </c>
      <c r="G502" s="66">
        <v>0</v>
      </c>
      <c r="H502" s="66">
        <v>0</v>
      </c>
      <c r="I502" s="74" t="s">
        <v>123</v>
      </c>
      <c r="J502" s="68">
        <v>0</v>
      </c>
      <c r="K502" s="80"/>
      <c r="L502" s="81"/>
      <c r="M502" s="82">
        <v>0</v>
      </c>
      <c r="N502" s="72" t="s">
        <v>116</v>
      </c>
      <c r="O502" s="64" t="s">
        <v>924</v>
      </c>
    </row>
    <row r="503" spans="1:15" ht="20.25" hidden="1" customHeight="1">
      <c r="A503" s="63">
        <v>497</v>
      </c>
      <c r="B503" s="63">
        <v>3</v>
      </c>
      <c r="C503" s="64" t="s">
        <v>68</v>
      </c>
      <c r="D503" s="65" t="s">
        <v>925</v>
      </c>
      <c r="E503" s="66"/>
      <c r="F503" s="66">
        <v>0</v>
      </c>
      <c r="G503" s="66">
        <v>0</v>
      </c>
      <c r="H503" s="66">
        <v>0</v>
      </c>
      <c r="I503" s="67" t="s">
        <v>123</v>
      </c>
      <c r="J503" s="68">
        <v>0</v>
      </c>
      <c r="K503" s="80"/>
      <c r="L503" s="81"/>
      <c r="M503" s="82">
        <v>0</v>
      </c>
      <c r="N503" s="72" t="s">
        <v>116</v>
      </c>
      <c r="O503" s="64" t="s">
        <v>926</v>
      </c>
    </row>
    <row r="504" spans="1:15" ht="20.25" hidden="1" customHeight="1">
      <c r="A504" s="63">
        <v>498</v>
      </c>
      <c r="B504" s="63">
        <v>4</v>
      </c>
      <c r="C504" s="64" t="s">
        <v>68</v>
      </c>
      <c r="D504" s="65" t="s">
        <v>927</v>
      </c>
      <c r="E504" s="66"/>
      <c r="F504" s="66">
        <v>0</v>
      </c>
      <c r="G504" s="66">
        <v>0</v>
      </c>
      <c r="H504" s="66">
        <v>0</v>
      </c>
      <c r="I504" s="74" t="s">
        <v>123</v>
      </c>
      <c r="J504" s="68">
        <v>0</v>
      </c>
      <c r="K504" s="80"/>
      <c r="L504" s="81"/>
      <c r="M504" s="82">
        <v>0</v>
      </c>
      <c r="N504" s="72" t="s">
        <v>116</v>
      </c>
      <c r="O504" s="64" t="s">
        <v>285</v>
      </c>
    </row>
    <row r="505" spans="1:15" ht="20.25" hidden="1" customHeight="1">
      <c r="A505" s="63">
        <v>499</v>
      </c>
      <c r="B505" s="63">
        <v>5</v>
      </c>
      <c r="C505" s="64" t="s">
        <v>68</v>
      </c>
      <c r="D505" s="65" t="s">
        <v>928</v>
      </c>
      <c r="E505" s="66">
        <v>23.819142198600002</v>
      </c>
      <c r="F505" s="66">
        <v>49.886777684269902</v>
      </c>
      <c r="G505" s="66">
        <v>0</v>
      </c>
      <c r="H505" s="66">
        <v>49.886777684269902</v>
      </c>
      <c r="I505" s="67" t="s">
        <v>661</v>
      </c>
      <c r="J505" s="68" t="s">
        <v>394</v>
      </c>
      <c r="K505" s="80"/>
      <c r="L505" s="81"/>
      <c r="M505" s="82">
        <v>0</v>
      </c>
      <c r="N505" s="72"/>
      <c r="O505" s="64" t="s">
        <v>394</v>
      </c>
    </row>
    <row r="506" spans="1:15" ht="20.25" hidden="1" customHeight="1">
      <c r="A506" s="63">
        <v>500</v>
      </c>
      <c r="B506" s="63">
        <v>6</v>
      </c>
      <c r="C506" s="64" t="s">
        <v>68</v>
      </c>
      <c r="D506" s="65" t="s">
        <v>929</v>
      </c>
      <c r="E506" s="66"/>
      <c r="F506" s="66">
        <v>0</v>
      </c>
      <c r="G506" s="66">
        <v>0</v>
      </c>
      <c r="H506" s="66">
        <v>0</v>
      </c>
      <c r="I506" s="74" t="s">
        <v>123</v>
      </c>
      <c r="J506" s="68">
        <v>0</v>
      </c>
      <c r="K506" s="80"/>
      <c r="L506" s="81"/>
      <c r="M506" s="82">
        <v>0</v>
      </c>
      <c r="N506" s="72" t="s">
        <v>116</v>
      </c>
      <c r="O506" s="64" t="s">
        <v>930</v>
      </c>
    </row>
    <row r="507" spans="1:15" ht="20.25" customHeight="1">
      <c r="A507" s="63">
        <v>501</v>
      </c>
      <c r="B507" s="63">
        <v>7</v>
      </c>
      <c r="C507" s="64" t="s">
        <v>68</v>
      </c>
      <c r="D507" s="65" t="s">
        <v>931</v>
      </c>
      <c r="E507" s="66"/>
      <c r="F507" s="66">
        <v>0</v>
      </c>
      <c r="G507" s="66">
        <v>0</v>
      </c>
      <c r="H507" s="66">
        <v>0</v>
      </c>
      <c r="I507" s="67" t="s">
        <v>104</v>
      </c>
      <c r="J507" s="68">
        <v>125</v>
      </c>
      <c r="K507" s="69"/>
      <c r="L507" s="79">
        <v>0</v>
      </c>
      <c r="M507" s="71">
        <v>0</v>
      </c>
      <c r="N507" s="72" t="s">
        <v>116</v>
      </c>
      <c r="O507" s="64" t="s">
        <v>932</v>
      </c>
    </row>
    <row r="508" spans="1:15" ht="20.25" hidden="1" customHeight="1">
      <c r="A508" s="63">
        <v>502</v>
      </c>
      <c r="B508" s="63">
        <v>8</v>
      </c>
      <c r="C508" s="64" t="s">
        <v>68</v>
      </c>
      <c r="D508" s="65" t="s">
        <v>933</v>
      </c>
      <c r="E508" s="66"/>
      <c r="F508" s="66">
        <v>0</v>
      </c>
      <c r="G508" s="66">
        <v>0</v>
      </c>
      <c r="H508" s="66">
        <v>0</v>
      </c>
      <c r="I508" s="74" t="s">
        <v>123</v>
      </c>
      <c r="J508" s="68">
        <v>0</v>
      </c>
      <c r="K508" s="80"/>
      <c r="L508" s="81"/>
      <c r="M508" s="82">
        <v>0</v>
      </c>
      <c r="N508" s="72" t="s">
        <v>116</v>
      </c>
      <c r="O508" s="64" t="s">
        <v>934</v>
      </c>
    </row>
    <row r="509" spans="1:15" ht="20.25" hidden="1" customHeight="1">
      <c r="A509" s="63">
        <v>503</v>
      </c>
      <c r="B509" s="63">
        <v>1</v>
      </c>
      <c r="C509" s="64" t="s">
        <v>69</v>
      </c>
      <c r="D509" s="65" t="s">
        <v>935</v>
      </c>
      <c r="E509" s="84"/>
      <c r="F509" s="66">
        <v>218.63474172707112</v>
      </c>
      <c r="G509" s="66">
        <v>135.94219060007001</v>
      </c>
      <c r="H509" s="66">
        <v>354.57693232714109</v>
      </c>
      <c r="I509" s="67" t="s">
        <v>123</v>
      </c>
      <c r="J509" s="68">
        <v>0</v>
      </c>
      <c r="K509" s="80"/>
      <c r="L509" s="81"/>
      <c r="M509" s="82">
        <v>0</v>
      </c>
      <c r="N509" s="72" t="s">
        <v>116</v>
      </c>
      <c r="O509" s="64" t="s">
        <v>843</v>
      </c>
    </row>
    <row r="510" spans="1:15" ht="20.25" hidden="1" customHeight="1">
      <c r="A510" s="63">
        <v>504</v>
      </c>
      <c r="B510" s="63">
        <v>2</v>
      </c>
      <c r="C510" s="64" t="s">
        <v>69</v>
      </c>
      <c r="D510" s="65" t="s">
        <v>936</v>
      </c>
      <c r="E510" s="84"/>
      <c r="F510" s="66">
        <v>0</v>
      </c>
      <c r="G510" s="66">
        <v>0</v>
      </c>
      <c r="H510" s="66">
        <v>0</v>
      </c>
      <c r="I510" s="74" t="s">
        <v>123</v>
      </c>
      <c r="J510" s="68">
        <v>0</v>
      </c>
      <c r="K510" s="80"/>
      <c r="L510" s="81"/>
      <c r="M510" s="82">
        <v>0</v>
      </c>
      <c r="N510" s="72" t="s">
        <v>116</v>
      </c>
      <c r="O510" s="64" t="s">
        <v>432</v>
      </c>
    </row>
    <row r="511" spans="1:15" ht="20.25" hidden="1" customHeight="1">
      <c r="A511" s="63">
        <v>505</v>
      </c>
      <c r="B511" s="63">
        <v>3</v>
      </c>
      <c r="C511" s="64" t="s">
        <v>69</v>
      </c>
      <c r="D511" s="65" t="s">
        <v>937</v>
      </c>
      <c r="E511" s="66">
        <v>42.241318156858</v>
      </c>
      <c r="F511" s="66">
        <v>8.6326952193674007</v>
      </c>
      <c r="G511" s="66">
        <v>33.347350850614497</v>
      </c>
      <c r="H511" s="66">
        <v>41.980046069981896</v>
      </c>
      <c r="I511" s="67" t="s">
        <v>661</v>
      </c>
      <c r="J511" s="68" t="s">
        <v>394</v>
      </c>
      <c r="K511" s="80"/>
      <c r="L511" s="81"/>
      <c r="M511" s="82">
        <v>0</v>
      </c>
      <c r="N511" s="72"/>
      <c r="O511" s="64" t="s">
        <v>394</v>
      </c>
    </row>
    <row r="512" spans="1:15" ht="20.25" customHeight="1">
      <c r="A512" s="63">
        <v>506</v>
      </c>
      <c r="B512" s="63">
        <v>4</v>
      </c>
      <c r="C512" s="64" t="s">
        <v>69</v>
      </c>
      <c r="D512" s="65" t="s">
        <v>938</v>
      </c>
      <c r="E512" s="66">
        <v>30258.299702080792</v>
      </c>
      <c r="F512" s="66">
        <v>3118.6074876934144</v>
      </c>
      <c r="G512" s="66">
        <v>39522.220535147797</v>
      </c>
      <c r="H512" s="66">
        <v>42640.828022841211</v>
      </c>
      <c r="I512" s="74" t="s">
        <v>91</v>
      </c>
      <c r="J512" s="68">
        <v>30432.39</v>
      </c>
      <c r="K512" s="69">
        <v>20325.620046353099</v>
      </c>
      <c r="L512" s="70"/>
      <c r="M512" s="71">
        <v>20325.620046353099</v>
      </c>
      <c r="N512" s="72" t="s">
        <v>126</v>
      </c>
      <c r="O512" s="64" t="s">
        <v>939</v>
      </c>
    </row>
    <row r="513" spans="1:80" ht="20.25" hidden="1" customHeight="1">
      <c r="A513" s="63">
        <v>507</v>
      </c>
      <c r="B513" s="63">
        <v>1</v>
      </c>
      <c r="C513" s="64" t="s">
        <v>70</v>
      </c>
      <c r="D513" s="65" t="s">
        <v>940</v>
      </c>
      <c r="E513" s="84"/>
      <c r="F513" s="66">
        <v>0</v>
      </c>
      <c r="G513" s="66">
        <v>0</v>
      </c>
      <c r="H513" s="66">
        <v>0</v>
      </c>
      <c r="I513" s="67" t="s">
        <v>123</v>
      </c>
      <c r="J513" s="68">
        <v>0</v>
      </c>
      <c r="K513" s="80"/>
      <c r="L513" s="81"/>
      <c r="M513" s="82">
        <v>0</v>
      </c>
      <c r="N513" s="72" t="s">
        <v>116</v>
      </c>
      <c r="O513" s="64" t="s">
        <v>941</v>
      </c>
    </row>
    <row r="514" spans="1:80" ht="20.25" customHeight="1">
      <c r="A514" s="63">
        <v>508</v>
      </c>
      <c r="B514" s="63">
        <v>2</v>
      </c>
      <c r="C514" s="64" t="s">
        <v>70</v>
      </c>
      <c r="D514" s="65" t="s">
        <v>942</v>
      </c>
      <c r="E514" s="66"/>
      <c r="F514" s="66">
        <v>0</v>
      </c>
      <c r="G514" s="66">
        <v>0</v>
      </c>
      <c r="H514" s="66">
        <v>0</v>
      </c>
      <c r="I514" s="74" t="s">
        <v>91</v>
      </c>
      <c r="J514" s="68">
        <v>23842</v>
      </c>
      <c r="K514" s="69"/>
      <c r="L514" s="70"/>
      <c r="M514" s="71">
        <v>0</v>
      </c>
      <c r="N514" s="72" t="s">
        <v>92</v>
      </c>
      <c r="O514" s="64" t="s">
        <v>943</v>
      </c>
    </row>
    <row r="515" spans="1:80" ht="20.25" hidden="1" customHeight="1">
      <c r="A515" s="63">
        <v>509</v>
      </c>
      <c r="B515" s="63">
        <v>3</v>
      </c>
      <c r="C515" s="64" t="s">
        <v>70</v>
      </c>
      <c r="D515" s="65" t="s">
        <v>944</v>
      </c>
      <c r="E515" s="66"/>
      <c r="F515" s="66">
        <v>0</v>
      </c>
      <c r="G515" s="66">
        <v>0</v>
      </c>
      <c r="H515" s="66">
        <v>0</v>
      </c>
      <c r="I515" s="67" t="s">
        <v>123</v>
      </c>
      <c r="J515" s="68">
        <v>0</v>
      </c>
      <c r="K515" s="80"/>
      <c r="L515" s="81"/>
      <c r="M515" s="82">
        <v>0</v>
      </c>
      <c r="N515" s="72" t="s">
        <v>116</v>
      </c>
      <c r="O515" s="64" t="s">
        <v>803</v>
      </c>
    </row>
    <row r="516" spans="1:80" ht="12.75" hidden="1" customHeight="1">
      <c r="A516" s="63">
        <v>510</v>
      </c>
      <c r="B516" s="63">
        <v>4</v>
      </c>
      <c r="C516" s="64" t="s">
        <v>70</v>
      </c>
      <c r="D516" s="65" t="s">
        <v>945</v>
      </c>
      <c r="E516" s="66">
        <v>157.983717346346</v>
      </c>
      <c r="F516" s="66">
        <v>0</v>
      </c>
      <c r="G516" s="66">
        <v>241.29256823200001</v>
      </c>
      <c r="H516" s="66">
        <v>241.29256823200001</v>
      </c>
      <c r="I516" s="74" t="s">
        <v>123</v>
      </c>
      <c r="J516" s="68">
        <v>0</v>
      </c>
      <c r="K516" s="80"/>
      <c r="L516" s="81"/>
      <c r="M516" s="82">
        <v>0</v>
      </c>
      <c r="N516" s="72" t="s">
        <v>126</v>
      </c>
      <c r="O516" s="64" t="s">
        <v>837</v>
      </c>
    </row>
    <row r="517" spans="1:80" ht="20.25" customHeight="1">
      <c r="A517" s="63">
        <v>511</v>
      </c>
      <c r="B517" s="63">
        <v>5</v>
      </c>
      <c r="C517" s="64" t="s">
        <v>70</v>
      </c>
      <c r="D517" s="65" t="s">
        <v>946</v>
      </c>
      <c r="E517" s="66">
        <v>2404.8065652161958</v>
      </c>
      <c r="F517" s="66">
        <v>0</v>
      </c>
      <c r="G517" s="66">
        <v>2128.8933819519343</v>
      </c>
      <c r="H517" s="66">
        <v>2128.8933819519343</v>
      </c>
      <c r="I517" s="67" t="s">
        <v>104</v>
      </c>
      <c r="J517" s="68">
        <v>34500</v>
      </c>
      <c r="K517" s="69"/>
      <c r="L517" s="79">
        <v>2404.8065652161958</v>
      </c>
      <c r="M517" s="71">
        <v>2404.8065652161958</v>
      </c>
      <c r="N517" s="72" t="s">
        <v>116</v>
      </c>
      <c r="O517" s="64" t="s">
        <v>151</v>
      </c>
    </row>
    <row r="518" spans="1:80" ht="20.25" hidden="1" customHeight="1">
      <c r="A518" s="63">
        <v>512</v>
      </c>
      <c r="B518" s="63">
        <v>6</v>
      </c>
      <c r="C518" s="64" t="s">
        <v>70</v>
      </c>
      <c r="D518" s="65" t="s">
        <v>947</v>
      </c>
      <c r="E518" s="66"/>
      <c r="F518" s="66">
        <v>0</v>
      </c>
      <c r="G518" s="66">
        <v>0</v>
      </c>
      <c r="H518" s="66">
        <v>0</v>
      </c>
      <c r="I518" s="74" t="s">
        <v>123</v>
      </c>
      <c r="J518" s="68">
        <v>0</v>
      </c>
      <c r="K518" s="80"/>
      <c r="L518" s="81"/>
      <c r="M518" s="82">
        <v>0</v>
      </c>
      <c r="N518" s="72" t="s">
        <v>116</v>
      </c>
      <c r="O518" s="64" t="s">
        <v>444</v>
      </c>
    </row>
    <row r="519" spans="1:80" ht="20.25" hidden="1" customHeight="1">
      <c r="A519" s="63">
        <v>513</v>
      </c>
      <c r="B519" s="63">
        <v>7</v>
      </c>
      <c r="C519" s="64" t="s">
        <v>70</v>
      </c>
      <c r="D519" s="65" t="s">
        <v>948</v>
      </c>
      <c r="E519" s="66"/>
      <c r="F519" s="66">
        <v>0</v>
      </c>
      <c r="G519" s="66">
        <v>0</v>
      </c>
      <c r="H519" s="66">
        <v>0</v>
      </c>
      <c r="I519" s="67" t="s">
        <v>123</v>
      </c>
      <c r="J519" s="68">
        <v>0</v>
      </c>
      <c r="K519" s="80"/>
      <c r="L519" s="81"/>
      <c r="M519" s="82">
        <v>0</v>
      </c>
      <c r="N519" s="72" t="s">
        <v>116</v>
      </c>
      <c r="O519" s="64" t="s">
        <v>934</v>
      </c>
    </row>
    <row r="520" spans="1:80" ht="20.25" hidden="1" customHeight="1">
      <c r="A520" s="63">
        <v>514</v>
      </c>
      <c r="B520" s="63">
        <v>8</v>
      </c>
      <c r="C520" s="64" t="s">
        <v>70</v>
      </c>
      <c r="D520" s="65" t="s">
        <v>949</v>
      </c>
      <c r="E520" s="66"/>
      <c r="F520" s="66">
        <v>0</v>
      </c>
      <c r="G520" s="66">
        <v>0</v>
      </c>
      <c r="H520" s="66">
        <v>0</v>
      </c>
      <c r="I520" s="74" t="s">
        <v>123</v>
      </c>
      <c r="J520" s="68">
        <v>0</v>
      </c>
      <c r="K520" s="80"/>
      <c r="L520" s="81"/>
      <c r="M520" s="82">
        <v>0</v>
      </c>
      <c r="N520" s="72" t="s">
        <v>116</v>
      </c>
      <c r="O520" s="64" t="s">
        <v>934</v>
      </c>
    </row>
    <row r="521" spans="1:80" ht="20.25" hidden="1" customHeight="1">
      <c r="A521" s="64"/>
      <c r="B521" s="64"/>
      <c r="C521" s="64"/>
      <c r="D521" s="64"/>
      <c r="E521" s="84">
        <v>7463953.5009595472</v>
      </c>
      <c r="F521" s="84">
        <v>324411.11943427613</v>
      </c>
      <c r="G521" s="84">
        <v>7059929.1550024133</v>
      </c>
      <c r="H521" s="84">
        <v>7384340.2744366899</v>
      </c>
      <c r="I521" s="30"/>
      <c r="J521" s="84">
        <v>8743650.7578736618</v>
      </c>
      <c r="K521" s="95">
        <v>4516550.2145995554</v>
      </c>
      <c r="L521" s="96">
        <v>1023609.3019627642</v>
      </c>
      <c r="M521" s="95">
        <f>K521+L521</f>
        <v>5540159.5165623194</v>
      </c>
      <c r="N521" s="64"/>
      <c r="O521" s="64"/>
    </row>
    <row r="522" spans="1:80" ht="20.25" hidden="1" customHeight="1">
      <c r="A522" s="47"/>
      <c r="B522" s="47"/>
      <c r="C522" s="47"/>
      <c r="D522" s="47"/>
      <c r="E522" s="97"/>
      <c r="F522" s="97"/>
      <c r="G522" s="97"/>
      <c r="H522" s="97">
        <f>SUM(H7:H517)</f>
        <v>7384340.2744366899</v>
      </c>
      <c r="I522" s="488"/>
      <c r="J522" s="47"/>
      <c r="K522" s="98">
        <f t="shared" ref="K522:L522" si="0">SUM(K7:K517)</f>
        <v>4516550.2145995554</v>
      </c>
      <c r="L522" s="98">
        <f t="shared" si="0"/>
        <v>1020607.3019627642</v>
      </c>
      <c r="M522" s="98">
        <f t="shared" ref="M522:M523" si="1">SUM(K522:L522)</f>
        <v>5537157.5165623194</v>
      </c>
      <c r="N522" s="99"/>
      <c r="O522" s="99"/>
      <c r="P522" s="99"/>
      <c r="Q522" s="99"/>
      <c r="R522" s="100"/>
      <c r="S522" s="101"/>
      <c r="T522" s="102"/>
      <c r="U522" s="99"/>
      <c r="V522" s="99"/>
      <c r="W522" s="99"/>
      <c r="X522" s="99"/>
      <c r="Y522" s="103"/>
      <c r="Z522" s="100"/>
      <c r="AA522" s="103"/>
      <c r="AB522" s="103"/>
      <c r="AC522" s="103"/>
      <c r="AD522" s="103"/>
      <c r="AE522" s="100"/>
      <c r="AF522" s="100"/>
      <c r="AG522" s="104"/>
      <c r="AH522" s="104"/>
      <c r="AI522" s="100"/>
      <c r="AJ522" s="105"/>
      <c r="AK522" s="100"/>
      <c r="AL522" s="103"/>
      <c r="AM522" s="103"/>
      <c r="AN522" s="97"/>
      <c r="AO522" s="100"/>
      <c r="AP522" s="100"/>
      <c r="AQ522" s="100"/>
      <c r="AR522" s="100"/>
      <c r="AS522" s="100"/>
      <c r="AT522" s="100"/>
      <c r="AU522" s="106"/>
      <c r="AV522" s="100"/>
      <c r="AW522" s="489"/>
      <c r="AX522" s="490"/>
      <c r="AY522" s="491"/>
      <c r="AZ522" s="491"/>
      <c r="BA522" s="492"/>
      <c r="BB522" s="491" t="e">
        <f>#REF!+#REF!</f>
        <v>#REF!</v>
      </c>
      <c r="BC522" s="492"/>
      <c r="BD522" s="491"/>
      <c r="BE522" s="492"/>
      <c r="BF522" s="98"/>
      <c r="BG522" s="47"/>
      <c r="BH522" s="47"/>
      <c r="BI522" s="47"/>
      <c r="BJ522" s="47"/>
      <c r="BK522" s="100"/>
      <c r="BL522" s="47"/>
      <c r="BM522" s="47"/>
      <c r="BN522" s="100"/>
      <c r="BO522" s="47"/>
      <c r="BP522" s="47"/>
      <c r="BQ522" s="47"/>
      <c r="BR522" s="98"/>
      <c r="BS522" s="47"/>
      <c r="BT522" s="47"/>
      <c r="BU522" s="98"/>
      <c r="BV522" s="47"/>
      <c r="BW522" s="98"/>
      <c r="BX522" s="47"/>
      <c r="BY522" s="47"/>
      <c r="BZ522" s="98"/>
      <c r="CA522" s="107"/>
      <c r="CB522" s="98"/>
    </row>
    <row r="523" spans="1:80" ht="20.25" hidden="1" customHeight="1">
      <c r="A523" s="47"/>
      <c r="B523" s="47"/>
      <c r="C523" s="47"/>
      <c r="D523" s="47"/>
      <c r="E523" s="98">
        <f t="shared" ref="E523:L523" si="2">SUM(E7:E517)</f>
        <v>7463953.5009595472</v>
      </c>
      <c r="F523" s="98">
        <f t="shared" si="2"/>
        <v>324411.11943427613</v>
      </c>
      <c r="G523" s="98">
        <f t="shared" si="2"/>
        <v>7059929.1550024133</v>
      </c>
      <c r="H523" s="98">
        <f t="shared" si="2"/>
        <v>7384340.2744366899</v>
      </c>
      <c r="I523" s="98">
        <f t="shared" si="2"/>
        <v>0</v>
      </c>
      <c r="J523" s="98">
        <f t="shared" si="2"/>
        <v>8743650.7578736618</v>
      </c>
      <c r="K523" s="98">
        <f t="shared" si="2"/>
        <v>4516550.2145995554</v>
      </c>
      <c r="L523" s="98">
        <f t="shared" si="2"/>
        <v>1020607.3019627642</v>
      </c>
      <c r="M523" s="98">
        <f t="shared" si="1"/>
        <v>5537157.5165623194</v>
      </c>
      <c r="N523" s="99"/>
      <c r="O523" s="99"/>
      <c r="P523" s="99"/>
      <c r="Q523" s="99"/>
      <c r="R523" s="100"/>
      <c r="S523" s="101"/>
      <c r="T523" s="102"/>
      <c r="U523" s="99"/>
      <c r="V523" s="99"/>
      <c r="W523" s="99"/>
      <c r="X523" s="99"/>
      <c r="Y523" s="103"/>
      <c r="Z523" s="100"/>
      <c r="AA523" s="103"/>
      <c r="AB523" s="103"/>
      <c r="AC523" s="103"/>
      <c r="AD523" s="103"/>
      <c r="AE523" s="100"/>
      <c r="AF523" s="100"/>
      <c r="AG523" s="104"/>
      <c r="AH523" s="104"/>
      <c r="AI523" s="100"/>
      <c r="AJ523" s="105"/>
      <c r="AK523" s="100"/>
      <c r="AL523" s="103"/>
      <c r="AM523" s="103"/>
      <c r="AN523" s="97"/>
      <c r="AO523" s="100"/>
      <c r="AP523" s="100"/>
      <c r="AQ523" s="100"/>
      <c r="AR523" s="100"/>
      <c r="AS523" s="100"/>
      <c r="AT523" s="100"/>
      <c r="AU523" s="106"/>
      <c r="AV523" s="100"/>
      <c r="AW523" s="489"/>
      <c r="AX523" s="490"/>
      <c r="AY523" s="491"/>
      <c r="AZ523" s="491"/>
      <c r="BA523" s="492"/>
      <c r="BB523" s="491"/>
      <c r="BC523" s="492"/>
      <c r="BD523" s="491"/>
      <c r="BE523" s="492"/>
      <c r="BF523" s="98"/>
      <c r="BG523" s="47"/>
      <c r="BH523" s="588" t="e">
        <f>M521/#REF!</f>
        <v>#REF!</v>
      </c>
      <c r="BI523" s="47"/>
      <c r="BJ523" s="47"/>
      <c r="BK523" s="100"/>
      <c r="BL523" s="47"/>
      <c r="BM523" s="47"/>
      <c r="BN523" s="100"/>
      <c r="BO523" s="47"/>
      <c r="BP523" s="47"/>
      <c r="BQ523" s="47"/>
      <c r="BR523" s="98"/>
      <c r="BS523" s="47"/>
      <c r="BT523" s="47"/>
      <c r="BU523" s="98"/>
      <c r="BV523" s="47"/>
      <c r="BW523" s="98"/>
      <c r="BX523" s="47"/>
      <c r="BY523" s="47"/>
      <c r="BZ523" s="98"/>
      <c r="CA523" s="107"/>
      <c r="CB523" s="98"/>
    </row>
    <row r="524" spans="1:80" ht="20.25" hidden="1" customHeight="1">
      <c r="A524" s="47"/>
      <c r="B524" s="47"/>
      <c r="C524" s="47"/>
      <c r="D524" s="47"/>
      <c r="E524" s="97"/>
      <c r="F524" s="97"/>
      <c r="G524" s="97"/>
      <c r="H524" s="97"/>
      <c r="I524" s="488"/>
      <c r="J524" s="47"/>
      <c r="K524" s="47"/>
      <c r="L524" s="108" t="s">
        <v>950</v>
      </c>
      <c r="M524" s="109">
        <f>M523/H523</f>
        <v>0.74985134904075346</v>
      </c>
      <c r="N524" s="99"/>
      <c r="O524" s="99"/>
      <c r="P524" s="99"/>
      <c r="Q524" s="99"/>
      <c r="R524" s="100"/>
      <c r="S524" s="101"/>
      <c r="T524" s="102"/>
      <c r="U524" s="99"/>
      <c r="V524" s="99"/>
      <c r="W524" s="99"/>
      <c r="X524" s="99"/>
      <c r="Y524" s="103"/>
      <c r="Z524" s="100"/>
      <c r="AA524" s="103"/>
      <c r="AB524" s="103"/>
      <c r="AC524" s="103"/>
      <c r="AD524" s="103"/>
      <c r="AE524" s="100"/>
      <c r="AF524" s="100"/>
      <c r="AG524" s="104"/>
      <c r="AH524" s="104"/>
      <c r="AI524" s="100"/>
      <c r="AJ524" s="105"/>
      <c r="AK524" s="100"/>
      <c r="AL524" s="103"/>
      <c r="AM524" s="103"/>
      <c r="AN524" s="97"/>
      <c r="AO524" s="100"/>
      <c r="AP524" s="100"/>
      <c r="AQ524" s="100"/>
      <c r="AR524" s="100"/>
      <c r="AS524" s="100"/>
      <c r="AT524" s="100"/>
      <c r="AU524" s="106"/>
      <c r="AV524" s="100"/>
      <c r="AW524" s="489"/>
      <c r="AX524" s="490"/>
      <c r="AY524" s="491"/>
      <c r="AZ524" s="493" t="s">
        <v>951</v>
      </c>
      <c r="BA524" s="110" t="e">
        <f t="shared" ref="BA524:BA530" si="3">SUMIF(#REF!,AZ524,$M$7:$M$520)</f>
        <v>#REF!</v>
      </c>
      <c r="BB524" s="491" t="e">
        <f>BA530</f>
        <v>#REF!</v>
      </c>
      <c r="BC524" s="492"/>
      <c r="BD524" s="491"/>
      <c r="BE524" s="492"/>
      <c r="BF524" s="98" t="e">
        <f t="shared" ref="BF524:BF525" si="4">BA524+BB524</f>
        <v>#REF!</v>
      </c>
      <c r="BG524" s="47"/>
      <c r="BH524" s="589"/>
      <c r="BI524" s="47"/>
      <c r="BJ524" s="47"/>
      <c r="BK524" s="100"/>
      <c r="BL524" s="47"/>
      <c r="BM524" s="47"/>
      <c r="BN524" s="100"/>
      <c r="BO524" s="47"/>
      <c r="BP524" s="47"/>
      <c r="BQ524" s="47"/>
      <c r="BR524" s="98"/>
      <c r="BS524" s="47"/>
      <c r="BT524" s="47"/>
      <c r="BU524" s="98"/>
      <c r="BV524" s="47"/>
      <c r="BW524" s="98"/>
      <c r="BX524" s="47"/>
      <c r="BY524" s="47"/>
      <c r="BZ524" s="98"/>
      <c r="CA524" s="107"/>
      <c r="CB524" s="98"/>
    </row>
    <row r="525" spans="1:80" ht="20.25" customHeight="1">
      <c r="A525" s="585" t="s">
        <v>952</v>
      </c>
      <c r="B525" s="586"/>
      <c r="C525" s="586"/>
      <c r="D525" s="587"/>
      <c r="E525" s="111">
        <f t="shared" ref="E525:H525" si="5">SUM(E7:E517)</f>
        <v>7463953.5009595472</v>
      </c>
      <c r="F525" s="112">
        <f t="shared" si="5"/>
        <v>324411.11943427613</v>
      </c>
      <c r="G525" s="112">
        <f t="shared" si="5"/>
        <v>7059929.1550024133</v>
      </c>
      <c r="H525" s="112">
        <f t="shared" si="5"/>
        <v>7384340.2744366899</v>
      </c>
      <c r="I525" s="112"/>
      <c r="J525" s="112">
        <f t="shared" ref="J525:L525" si="6">SUM(J7:J517)</f>
        <v>8743650.7578736618</v>
      </c>
      <c r="K525" s="112">
        <f t="shared" si="6"/>
        <v>4516550.2145995554</v>
      </c>
      <c r="L525" s="112">
        <f t="shared" si="6"/>
        <v>1020607.3019627642</v>
      </c>
      <c r="M525" s="113">
        <f>SUM(K525:L525)</f>
        <v>5537157.5165623194</v>
      </c>
      <c r="N525" s="114"/>
      <c r="O525" s="494"/>
      <c r="P525" s="99"/>
      <c r="Q525" s="99"/>
      <c r="R525" s="100"/>
      <c r="S525" s="101"/>
      <c r="T525" s="102"/>
      <c r="U525" s="99"/>
      <c r="V525" s="99"/>
      <c r="W525" s="99"/>
      <c r="X525" s="99"/>
      <c r="Y525" s="103"/>
      <c r="Z525" s="100"/>
      <c r="AA525" s="103"/>
      <c r="AB525" s="103"/>
      <c r="AC525" s="103"/>
      <c r="AD525" s="103"/>
      <c r="AE525" s="100"/>
      <c r="AF525" s="100"/>
      <c r="AG525" s="104"/>
      <c r="AH525" s="104"/>
      <c r="AI525" s="100"/>
      <c r="AJ525" s="105"/>
      <c r="AK525" s="100"/>
      <c r="AL525" s="103"/>
      <c r="AM525" s="103"/>
      <c r="AN525" s="97"/>
      <c r="AO525" s="100"/>
      <c r="AP525" s="100"/>
      <c r="AQ525" s="100"/>
      <c r="AR525" s="100"/>
      <c r="AS525" s="100"/>
      <c r="AT525" s="100"/>
      <c r="AU525" s="106"/>
      <c r="AV525" s="100"/>
      <c r="AW525" s="489"/>
      <c r="AX525" s="490"/>
      <c r="AY525" s="491"/>
      <c r="AZ525" s="495" t="s">
        <v>953</v>
      </c>
      <c r="BA525" s="110" t="e">
        <f t="shared" si="3"/>
        <v>#REF!</v>
      </c>
      <c r="BB525" s="491"/>
      <c r="BC525" s="492"/>
      <c r="BD525" s="491"/>
      <c r="BE525" s="492"/>
      <c r="BF525" s="98" t="e">
        <f t="shared" si="4"/>
        <v>#REF!</v>
      </c>
      <c r="BG525" s="47"/>
      <c r="BH525" s="496"/>
      <c r="BI525" s="47"/>
      <c r="BJ525" s="47"/>
      <c r="BK525" s="100"/>
      <c r="BL525" s="47"/>
      <c r="BM525" s="47"/>
      <c r="BN525" s="100"/>
      <c r="BO525" s="47"/>
      <c r="BP525" s="47"/>
      <c r="BQ525" s="47"/>
      <c r="BR525" s="98"/>
      <c r="BS525" s="47"/>
      <c r="BT525" s="47"/>
      <c r="BU525" s="98"/>
      <c r="BV525" s="47"/>
      <c r="BW525" s="98"/>
      <c r="BX525" s="47"/>
      <c r="BY525" s="47"/>
      <c r="BZ525" s="98"/>
      <c r="CA525" s="107"/>
      <c r="CB525" s="98"/>
    </row>
    <row r="526" spans="1:80" ht="20.25" customHeight="1">
      <c r="A526" s="578" t="s">
        <v>954</v>
      </c>
      <c r="B526" s="564"/>
      <c r="C526" s="564"/>
      <c r="D526" s="564"/>
      <c r="E526" s="497"/>
      <c r="F526" s="115"/>
      <c r="G526" s="115"/>
      <c r="H526" s="115"/>
      <c r="I526" s="115"/>
      <c r="J526" s="115"/>
      <c r="K526" s="115"/>
      <c r="L526" s="115"/>
      <c r="M526" s="116">
        <f>M525</f>
        <v>5537157.5165623194</v>
      </c>
      <c r="N526" s="117"/>
      <c r="O526" s="498"/>
      <c r="P526" s="99"/>
      <c r="Q526" s="99"/>
      <c r="R526" s="100"/>
      <c r="S526" s="101"/>
      <c r="T526" s="102"/>
      <c r="U526" s="99"/>
      <c r="V526" s="99"/>
      <c r="W526" s="99"/>
      <c r="X526" s="99"/>
      <c r="Y526" s="103"/>
      <c r="Z526" s="100"/>
      <c r="AA526" s="103"/>
      <c r="AB526" s="103"/>
      <c r="AC526" s="103"/>
      <c r="AD526" s="103"/>
      <c r="AE526" s="100"/>
      <c r="AF526" s="100"/>
      <c r="AG526" s="104"/>
      <c r="AH526" s="104"/>
      <c r="AI526" s="100"/>
      <c r="AJ526" s="105"/>
      <c r="AK526" s="100"/>
      <c r="AL526" s="103"/>
      <c r="AM526" s="103"/>
      <c r="AN526" s="97"/>
      <c r="AO526" s="100"/>
      <c r="AP526" s="100"/>
      <c r="AQ526" s="100"/>
      <c r="AR526" s="100"/>
      <c r="AS526" s="100"/>
      <c r="AT526" s="100"/>
      <c r="AU526" s="106"/>
      <c r="AV526" s="100"/>
      <c r="AW526" s="489"/>
      <c r="AX526" s="490"/>
      <c r="AY526" s="491"/>
      <c r="AZ526" s="495" t="s">
        <v>955</v>
      </c>
      <c r="BA526" s="110" t="e">
        <f t="shared" si="3"/>
        <v>#REF!</v>
      </c>
      <c r="BB526" s="491"/>
      <c r="BC526" s="492"/>
      <c r="BD526" s="491"/>
      <c r="BE526" s="492"/>
      <c r="BF526" s="98"/>
      <c r="BG526" s="47"/>
      <c r="BH526" s="496"/>
      <c r="BI526" s="47"/>
      <c r="BJ526" s="47"/>
      <c r="BK526" s="100"/>
      <c r="BL526" s="47"/>
      <c r="BM526" s="47"/>
      <c r="BN526" s="100"/>
      <c r="BO526" s="47"/>
      <c r="BP526" s="47"/>
      <c r="BQ526" s="47"/>
      <c r="BR526" s="98"/>
      <c r="BS526" s="47"/>
      <c r="BT526" s="47"/>
      <c r="BU526" s="98"/>
      <c r="BV526" s="47"/>
      <c r="BW526" s="98"/>
      <c r="BX526" s="47"/>
      <c r="BY526" s="47"/>
      <c r="BZ526" s="98"/>
      <c r="CA526" s="107"/>
      <c r="CB526" s="98"/>
    </row>
    <row r="527" spans="1:80" ht="20.25" customHeight="1">
      <c r="A527" s="581" t="s">
        <v>956</v>
      </c>
      <c r="B527" s="564"/>
      <c r="C527" s="564"/>
      <c r="D527" s="564"/>
      <c r="E527" s="497"/>
      <c r="F527" s="118"/>
      <c r="G527" s="118"/>
      <c r="H527" s="118"/>
      <c r="I527" s="118"/>
      <c r="J527" s="118"/>
      <c r="K527" s="118"/>
      <c r="L527" s="118"/>
      <c r="M527" s="119">
        <f>H525</f>
        <v>7384340.2744366899</v>
      </c>
      <c r="N527" s="117"/>
      <c r="O527" s="498"/>
      <c r="P527" s="99"/>
      <c r="Q527" s="99"/>
      <c r="R527" s="100"/>
      <c r="S527" s="101"/>
      <c r="T527" s="102"/>
      <c r="U527" s="99"/>
      <c r="V527" s="99"/>
      <c r="W527" s="99"/>
      <c r="X527" s="99"/>
      <c r="Y527" s="103"/>
      <c r="Z527" s="100"/>
      <c r="AA527" s="103"/>
      <c r="AB527" s="103"/>
      <c r="AC527" s="103"/>
      <c r="AD527" s="103"/>
      <c r="AE527" s="100"/>
      <c r="AF527" s="100"/>
      <c r="AG527" s="104"/>
      <c r="AH527" s="104"/>
      <c r="AI527" s="100"/>
      <c r="AJ527" s="105"/>
      <c r="AK527" s="100"/>
      <c r="AL527" s="103"/>
      <c r="AM527" s="103"/>
      <c r="AN527" s="97"/>
      <c r="AO527" s="100"/>
      <c r="AP527" s="100"/>
      <c r="AQ527" s="100"/>
      <c r="AR527" s="100"/>
      <c r="AS527" s="100"/>
      <c r="AT527" s="100"/>
      <c r="AU527" s="106"/>
      <c r="AV527" s="100"/>
      <c r="AW527" s="489"/>
      <c r="AX527" s="490"/>
      <c r="AY527" s="491"/>
      <c r="AZ527" s="495" t="s">
        <v>957</v>
      </c>
      <c r="BA527" s="110" t="e">
        <f t="shared" si="3"/>
        <v>#REF!</v>
      </c>
      <c r="BB527" s="491"/>
      <c r="BC527" s="492"/>
      <c r="BD527" s="491"/>
      <c r="BE527" s="492"/>
      <c r="BF527" s="98"/>
      <c r="BG527" s="47"/>
      <c r="BH527" s="496"/>
      <c r="BI527" s="47"/>
      <c r="BJ527" s="47"/>
      <c r="BK527" s="100"/>
      <c r="BL527" s="47"/>
      <c r="BM527" s="47"/>
      <c r="BN527" s="100"/>
      <c r="BO527" s="47"/>
      <c r="BP527" s="47"/>
      <c r="BQ527" s="47"/>
      <c r="BR527" s="98"/>
      <c r="BS527" s="47"/>
      <c r="BT527" s="47"/>
      <c r="BU527" s="98"/>
      <c r="BV527" s="47"/>
      <c r="BW527" s="98"/>
      <c r="BX527" s="47"/>
      <c r="BY527" s="47"/>
      <c r="BZ527" s="98"/>
      <c r="CA527" s="107"/>
      <c r="CB527" s="98"/>
    </row>
    <row r="528" spans="1:80" ht="20.25" customHeight="1">
      <c r="A528" s="582" t="s">
        <v>958</v>
      </c>
      <c r="B528" s="583"/>
      <c r="C528" s="583"/>
      <c r="D528" s="583"/>
      <c r="E528" s="499"/>
      <c r="F528" s="120"/>
      <c r="G528" s="120"/>
      <c r="H528" s="120"/>
      <c r="I528" s="120"/>
      <c r="J528" s="120"/>
      <c r="K528" s="120"/>
      <c r="L528" s="120"/>
      <c r="M528" s="121">
        <f>M526/H525</f>
        <v>0.74985134904075346</v>
      </c>
      <c r="N528" s="122"/>
      <c r="O528" s="500"/>
      <c r="P528" s="99"/>
      <c r="Q528" s="99"/>
      <c r="R528" s="100"/>
      <c r="S528" s="101"/>
      <c r="T528" s="102"/>
      <c r="U528" s="99"/>
      <c r="V528" s="99"/>
      <c r="W528" s="99"/>
      <c r="X528" s="99"/>
      <c r="Y528" s="103"/>
      <c r="Z528" s="100"/>
      <c r="AA528" s="103"/>
      <c r="AB528" s="103"/>
      <c r="AC528" s="103"/>
      <c r="AD528" s="103"/>
      <c r="AE528" s="100"/>
      <c r="AF528" s="100"/>
      <c r="AG528" s="104"/>
      <c r="AH528" s="104"/>
      <c r="AI528" s="100"/>
      <c r="AJ528" s="105"/>
      <c r="AK528" s="100"/>
      <c r="AL528" s="103"/>
      <c r="AM528" s="103"/>
      <c r="AN528" s="97"/>
      <c r="AO528" s="100"/>
      <c r="AP528" s="100"/>
      <c r="AQ528" s="100"/>
      <c r="AR528" s="100"/>
      <c r="AS528" s="100"/>
      <c r="AT528" s="100"/>
      <c r="AU528" s="106"/>
      <c r="AV528" s="100"/>
      <c r="AW528" s="489"/>
      <c r="AX528" s="490"/>
      <c r="AY528" s="491"/>
      <c r="AZ528" s="495" t="s">
        <v>959</v>
      </c>
      <c r="BA528" s="110" t="e">
        <f t="shared" si="3"/>
        <v>#REF!</v>
      </c>
      <c r="BB528" s="491"/>
      <c r="BC528" s="492"/>
      <c r="BD528" s="491"/>
      <c r="BE528" s="492"/>
      <c r="BF528" s="98"/>
      <c r="BG528" s="47"/>
      <c r="BH528" s="496"/>
      <c r="BI528" s="47"/>
      <c r="BJ528" s="47"/>
      <c r="BK528" s="100"/>
      <c r="BL528" s="47"/>
      <c r="BM528" s="47"/>
      <c r="BN528" s="100"/>
      <c r="BO528" s="47"/>
      <c r="BP528" s="47"/>
      <c r="BQ528" s="47"/>
      <c r="BR528" s="98"/>
      <c r="BS528" s="47"/>
      <c r="BT528" s="47"/>
      <c r="BU528" s="98"/>
      <c r="BV528" s="47"/>
      <c r="BW528" s="98"/>
      <c r="BX528" s="47"/>
      <c r="BY528" s="47"/>
      <c r="BZ528" s="98"/>
      <c r="CA528" s="107"/>
      <c r="CB528" s="98"/>
    </row>
    <row r="529" spans="1:80" ht="11.25" customHeight="1">
      <c r="A529" s="47"/>
      <c r="B529" s="47"/>
      <c r="C529" s="47"/>
      <c r="D529" s="47"/>
      <c r="E529" s="97"/>
      <c r="F529" s="97"/>
      <c r="G529" s="97"/>
      <c r="H529" s="97"/>
      <c r="I529" s="501"/>
      <c r="J529" s="47"/>
      <c r="K529" s="47"/>
      <c r="L529" s="100"/>
      <c r="M529" s="100"/>
      <c r="N529" s="99"/>
      <c r="O529" s="99"/>
      <c r="P529" s="99"/>
      <c r="Q529" s="99"/>
      <c r="R529" s="100"/>
      <c r="S529" s="101"/>
      <c r="T529" s="102"/>
      <c r="U529" s="99"/>
      <c r="V529" s="99"/>
      <c r="W529" s="99"/>
      <c r="X529" s="99"/>
      <c r="Y529" s="103"/>
      <c r="Z529" s="100"/>
      <c r="AA529" s="103"/>
      <c r="AB529" s="103"/>
      <c r="AC529" s="103"/>
      <c r="AD529" s="103"/>
      <c r="AE529" s="100"/>
      <c r="AF529" s="100"/>
      <c r="AG529" s="104"/>
      <c r="AH529" s="104"/>
      <c r="AI529" s="100"/>
      <c r="AJ529" s="105"/>
      <c r="AK529" s="100"/>
      <c r="AL529" s="103"/>
      <c r="AM529" s="103"/>
      <c r="AN529" s="97"/>
      <c r="AO529" s="100"/>
      <c r="AP529" s="100"/>
      <c r="AQ529" s="100"/>
      <c r="AR529" s="100"/>
      <c r="AS529" s="100"/>
      <c r="AT529" s="100"/>
      <c r="AU529" s="106"/>
      <c r="AV529" s="100"/>
      <c r="AW529" s="489"/>
      <c r="AX529" s="490"/>
      <c r="AY529" s="491"/>
      <c r="AZ529" s="495" t="s">
        <v>960</v>
      </c>
      <c r="BA529" s="110" t="e">
        <f t="shared" si="3"/>
        <v>#REF!</v>
      </c>
      <c r="BB529" s="491"/>
      <c r="BC529" s="492"/>
      <c r="BD529" s="491"/>
      <c r="BE529" s="492"/>
      <c r="BF529" s="98"/>
      <c r="BG529" s="47"/>
      <c r="BH529" s="496"/>
      <c r="BI529" s="47"/>
      <c r="BJ529" s="47"/>
      <c r="BK529" s="100"/>
      <c r="BL529" s="47"/>
      <c r="BM529" s="47"/>
      <c r="BN529" s="100"/>
      <c r="BO529" s="47"/>
      <c r="BP529" s="47"/>
      <c r="BQ529" s="47"/>
      <c r="BR529" s="98"/>
      <c r="BS529" s="47"/>
      <c r="BT529" s="47"/>
      <c r="BU529" s="98"/>
      <c r="BV529" s="47"/>
      <c r="BW529" s="98"/>
      <c r="BX529" s="47"/>
      <c r="BY529" s="47"/>
      <c r="BZ529" s="98"/>
      <c r="CA529" s="107"/>
      <c r="CB529" s="98"/>
    </row>
    <row r="530" spans="1:80" ht="20.25" customHeight="1">
      <c r="A530" s="18" t="s">
        <v>73</v>
      </c>
      <c r="B530" s="47"/>
      <c r="C530" s="47"/>
      <c r="D530" s="47"/>
      <c r="E530" s="97"/>
      <c r="F530" s="97"/>
      <c r="G530" s="97"/>
      <c r="H530" s="97"/>
      <c r="I530" s="488"/>
      <c r="J530" s="47"/>
      <c r="K530" s="47"/>
      <c r="L530" s="100"/>
      <c r="M530" s="100"/>
      <c r="N530" s="99"/>
      <c r="O530" s="99"/>
      <c r="P530" s="99"/>
      <c r="Q530" s="99"/>
      <c r="R530" s="100"/>
      <c r="S530" s="101"/>
      <c r="T530" s="102"/>
      <c r="U530" s="99"/>
      <c r="V530" s="99"/>
      <c r="W530" s="99"/>
      <c r="X530" s="99"/>
      <c r="Y530" s="103"/>
      <c r="Z530" s="100"/>
      <c r="AA530" s="103"/>
      <c r="AB530" s="103"/>
      <c r="AC530" s="103"/>
      <c r="AD530" s="103"/>
      <c r="AE530" s="100"/>
      <c r="AF530" s="100"/>
      <c r="AG530" s="104"/>
      <c r="AH530" s="104"/>
      <c r="AI530" s="100"/>
      <c r="AJ530" s="105"/>
      <c r="AK530" s="100"/>
      <c r="AL530" s="103"/>
      <c r="AM530" s="103"/>
      <c r="AN530" s="97"/>
      <c r="AO530" s="100"/>
      <c r="AP530" s="100"/>
      <c r="AQ530" s="100"/>
      <c r="AR530" s="100"/>
      <c r="AS530" s="100"/>
      <c r="AT530" s="100"/>
      <c r="AU530" s="106"/>
      <c r="AV530" s="100"/>
      <c r="AW530" s="489"/>
      <c r="AX530" s="490"/>
      <c r="AY530" s="491"/>
      <c r="AZ530" s="495" t="s">
        <v>961</v>
      </c>
      <c r="BA530" s="110" t="e">
        <f t="shared" si="3"/>
        <v>#REF!</v>
      </c>
      <c r="BB530" s="491"/>
      <c r="BC530" s="492"/>
      <c r="BD530" s="491"/>
      <c r="BE530" s="492"/>
      <c r="BF530" s="98"/>
      <c r="BG530" s="47"/>
      <c r="BH530" s="496"/>
      <c r="BI530" s="47"/>
      <c r="BJ530" s="47"/>
      <c r="BK530" s="100"/>
      <c r="BL530" s="47"/>
      <c r="BM530" s="47"/>
      <c r="BN530" s="100"/>
      <c r="BO530" s="47"/>
      <c r="BP530" s="47"/>
      <c r="BQ530" s="47"/>
      <c r="BR530" s="98"/>
      <c r="BS530" s="47"/>
      <c r="BT530" s="47"/>
      <c r="BU530" s="98"/>
      <c r="BV530" s="47"/>
      <c r="BW530" s="98"/>
      <c r="BX530" s="47"/>
      <c r="BY530" s="47"/>
      <c r="BZ530" s="98"/>
      <c r="CA530" s="107"/>
      <c r="CB530" s="98"/>
    </row>
    <row r="531" spans="1:80" ht="20.25" customHeight="1">
      <c r="A531" s="47"/>
      <c r="B531" s="47"/>
      <c r="C531" s="47"/>
      <c r="D531" s="47"/>
      <c r="E531" s="97"/>
      <c r="F531" s="97"/>
      <c r="G531" s="97"/>
      <c r="H531" s="97"/>
      <c r="I531" s="501"/>
      <c r="J531" s="47"/>
      <c r="K531" s="47"/>
      <c r="L531" s="100"/>
      <c r="M531" s="100"/>
      <c r="N531" s="99"/>
      <c r="O531" s="99"/>
      <c r="P531" s="99"/>
      <c r="Q531" s="99"/>
      <c r="R531" s="100"/>
      <c r="S531" s="101"/>
      <c r="T531" s="102"/>
      <c r="U531" s="99"/>
      <c r="V531" s="99"/>
      <c r="W531" s="99"/>
      <c r="X531" s="99"/>
      <c r="Y531" s="103"/>
      <c r="Z531" s="100"/>
      <c r="AA531" s="103"/>
      <c r="AB531" s="103"/>
      <c r="AC531" s="103"/>
      <c r="AD531" s="103"/>
      <c r="AE531" s="100"/>
      <c r="AF531" s="100"/>
      <c r="AG531" s="104"/>
      <c r="AH531" s="104"/>
      <c r="AI531" s="100"/>
      <c r="AJ531" s="105"/>
      <c r="AK531" s="100"/>
      <c r="AL531" s="103"/>
      <c r="AM531" s="103"/>
      <c r="AN531" s="97"/>
      <c r="AO531" s="100"/>
      <c r="AP531" s="100"/>
      <c r="AQ531" s="100"/>
      <c r="AR531" s="100"/>
      <c r="AS531" s="100"/>
      <c r="AT531" s="100"/>
      <c r="AU531" s="106"/>
      <c r="AV531" s="100"/>
      <c r="AW531" s="489"/>
      <c r="AX531" s="490"/>
      <c r="AY531" s="491"/>
      <c r="AZ531" s="123"/>
      <c r="BA531" s="502" t="e">
        <f>SUM(BA524:BA530)</f>
        <v>#REF!</v>
      </c>
      <c r="BB531" s="491"/>
      <c r="BC531" s="492"/>
      <c r="BD531" s="491"/>
      <c r="BE531" s="492"/>
      <c r="BF531" s="98"/>
      <c r="BG531" s="47"/>
      <c r="BH531" s="496"/>
      <c r="BI531" s="47"/>
      <c r="BJ531" s="47"/>
      <c r="BK531" s="100"/>
      <c r="BL531" s="47"/>
      <c r="BM531" s="47"/>
      <c r="BN531" s="100"/>
      <c r="BO531" s="47"/>
      <c r="BP531" s="47"/>
      <c r="BQ531" s="47"/>
      <c r="BR531" s="98"/>
      <c r="BS531" s="47"/>
      <c r="BT531" s="47"/>
      <c r="BU531" s="98"/>
      <c r="BV531" s="47"/>
      <c r="BW531" s="98"/>
      <c r="BX531" s="47"/>
      <c r="BY531" s="47"/>
      <c r="BZ531" s="98"/>
      <c r="CA531" s="107"/>
      <c r="CB531" s="98"/>
    </row>
  </sheetData>
  <autoFilter ref="I4:I524" xr:uid="{00000000-0009-0000-0000-000002000000}">
    <filterColumn colId="0">
      <filters>
        <filter val="D"/>
        <filter val="DS"/>
      </filters>
    </filterColumn>
  </autoFilter>
  <customSheetViews>
    <customSheetView guid="{8CA0649E-B0F3-4F9F-9A3F-69C710DA5DC5}" filter="1" showAutoFilter="1">
      <pageMargins left="0" right="0" top="0" bottom="0" header="0" footer="0"/>
      <autoFilter ref="A4:BQ520" xr:uid="{E23262E4-313D-49AD-BAA5-7A8C39272B32}"/>
      <extLst>
        <ext uri="GoogleSheetsCustomDataVersion1">
          <go:sheetsCustomData xmlns:go="http://customooxmlschemas.google.com/" filterViewId="1213912150"/>
        </ext>
      </extLst>
    </customSheetView>
    <customSheetView guid="{C3196510-4660-4BEC-89BE-01C65EB5C10A}" filter="1" showAutoFilter="1">
      <pageMargins left="0" right="0" top="0" bottom="0" header="0" footer="0"/>
      <autoFilter ref="A4:BQ529" xr:uid="{1B38A3C8-7730-4521-ABA5-F63D417C289A}"/>
      <extLst>
        <ext uri="GoogleSheetsCustomDataVersion1">
          <go:sheetsCustomData xmlns:go="http://customooxmlschemas.google.com/" filterViewId="83128918"/>
        </ext>
      </extLst>
    </customSheetView>
  </customSheetViews>
  <mergeCells count="20">
    <mergeCell ref="BH523:BH524"/>
    <mergeCell ref="A1:O1"/>
    <mergeCell ref="A3:A5"/>
    <mergeCell ref="B3:B5"/>
    <mergeCell ref="C3:C5"/>
    <mergeCell ref="D3:D5"/>
    <mergeCell ref="F3:H3"/>
    <mergeCell ref="N3:O3"/>
    <mergeCell ref="I3:J3"/>
    <mergeCell ref="K3:M3"/>
    <mergeCell ref="I4:I5"/>
    <mergeCell ref="J4:J5"/>
    <mergeCell ref="A526:D526"/>
    <mergeCell ref="A527:D527"/>
    <mergeCell ref="A528:D528"/>
    <mergeCell ref="G4:G5"/>
    <mergeCell ref="H4:H5"/>
    <mergeCell ref="E3:E5"/>
    <mergeCell ref="F4:F5"/>
    <mergeCell ref="A525:D525"/>
  </mergeCells>
  <conditionalFormatting sqref="I3:I522 I524 I529:I531">
    <cfRule type="cellIs" dxfId="24" priority="1" operator="equal">
      <formula>"DS"</formula>
    </cfRule>
  </conditionalFormatting>
  <conditionalFormatting sqref="I3:I522 I524 I529:I531">
    <cfRule type="cellIs" dxfId="23" priority="2" operator="equal">
      <formula>"D"</formula>
    </cfRule>
  </conditionalFormatting>
  <conditionalFormatting sqref="I3:I522 I524 I529:I531">
    <cfRule type="cellIs" dxfId="22" priority="3" operator="equal">
      <formula>"TD"</formula>
    </cfRule>
  </conditionalFormatting>
  <conditionalFormatting sqref="I3:I522 I524 I529:I531">
    <cfRule type="cellIs" dxfId="21" priority="4" operator="equal">
      <formula>"TAD"</formula>
    </cfRule>
  </conditionalFormatting>
  <conditionalFormatting sqref="I7">
    <cfRule type="cellIs" dxfId="20" priority="5" operator="notEqual">
      <formula>"D,TD,TAD,DS"</formula>
    </cfRule>
  </conditionalFormatting>
  <dataValidations count="1">
    <dataValidation type="list" allowBlank="1" showErrorMessage="1" sqref="N7:N520" xr:uid="{00000000-0002-0000-0200-000000000000}">
      <formula1>"Perkada LP2B,SK LP2B,Perda RTRW,Perda LP2B"</formula1>
    </dataValidation>
  </dataValidations>
  <hyperlinks>
    <hyperlink ref="O146" location="null!F210" display="Perda No. 4 Tahun 2021" xr:uid="{00000000-0004-0000-0200-000000000000}"/>
  </hyperlinks>
  <pageMargins left="0.70866141732283472" right="0.70866141732283472" top="0.74803149606299213" bottom="0.7480314960629921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2EFD9"/>
  </sheetPr>
  <dimension ref="A1:P1000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4.42578125" defaultRowHeight="15" customHeight="1"/>
  <cols>
    <col min="1" max="1" width="5.140625" customWidth="1"/>
    <col min="2" max="2" width="6.140625" customWidth="1"/>
    <col min="3" max="4" width="36.7109375" customWidth="1"/>
    <col min="5" max="7" width="13" customWidth="1"/>
    <col min="8" max="8" width="30.5703125" customWidth="1"/>
    <col min="9" max="9" width="32.140625" customWidth="1"/>
    <col min="10" max="16" width="14.140625" customWidth="1"/>
  </cols>
  <sheetData>
    <row r="1" spans="1:16" ht="21.75" customHeight="1">
      <c r="A1" s="591" t="s">
        <v>0</v>
      </c>
      <c r="B1" s="591" t="s">
        <v>76</v>
      </c>
      <c r="C1" s="591" t="s">
        <v>25</v>
      </c>
      <c r="D1" s="591" t="s">
        <v>77</v>
      </c>
      <c r="E1" s="584" t="s">
        <v>4</v>
      </c>
      <c r="F1" s="594" t="s">
        <v>79</v>
      </c>
      <c r="G1" s="559"/>
      <c r="H1" s="598" t="s">
        <v>962</v>
      </c>
      <c r="I1" s="564"/>
      <c r="J1" s="564"/>
      <c r="K1" s="564"/>
      <c r="L1" s="564"/>
      <c r="M1" s="564"/>
      <c r="N1" s="564"/>
      <c r="O1" s="564"/>
      <c r="P1" s="559"/>
    </row>
    <row r="2" spans="1:16" ht="34.5" customHeight="1">
      <c r="A2" s="570"/>
      <c r="B2" s="570"/>
      <c r="C2" s="570"/>
      <c r="D2" s="570"/>
      <c r="E2" s="570"/>
      <c r="F2" s="596" t="s">
        <v>84</v>
      </c>
      <c r="G2" s="596" t="s">
        <v>85</v>
      </c>
      <c r="H2" s="598" t="s">
        <v>963</v>
      </c>
      <c r="I2" s="559"/>
      <c r="J2" s="599" t="s">
        <v>964</v>
      </c>
      <c r="K2" s="564"/>
      <c r="L2" s="559"/>
      <c r="M2" s="597" t="s">
        <v>965</v>
      </c>
      <c r="N2" s="559"/>
      <c r="O2" s="597" t="s">
        <v>966</v>
      </c>
      <c r="P2" s="559"/>
    </row>
    <row r="3" spans="1:16" ht="21.75" customHeight="1">
      <c r="A3" s="561"/>
      <c r="B3" s="561"/>
      <c r="C3" s="561"/>
      <c r="D3" s="561"/>
      <c r="E3" s="561"/>
      <c r="F3" s="561"/>
      <c r="G3" s="561"/>
      <c r="H3" s="124" t="s">
        <v>967</v>
      </c>
      <c r="I3" s="125" t="s">
        <v>963</v>
      </c>
      <c r="J3" s="126" t="s">
        <v>4</v>
      </c>
      <c r="K3" s="126" t="s">
        <v>968</v>
      </c>
      <c r="L3" s="127" t="s">
        <v>969</v>
      </c>
      <c r="M3" s="126" t="s">
        <v>85</v>
      </c>
      <c r="N3" s="127" t="s">
        <v>969</v>
      </c>
      <c r="O3" s="126" t="s">
        <v>85</v>
      </c>
      <c r="P3" s="127" t="s">
        <v>969</v>
      </c>
    </row>
    <row r="4" spans="1:16" ht="17.25" customHeight="1">
      <c r="A4" s="56"/>
      <c r="B4" s="56"/>
      <c r="C4" s="55"/>
      <c r="D4" s="55"/>
      <c r="E4" s="57"/>
      <c r="F4" s="58"/>
      <c r="G4" s="59"/>
      <c r="H4" s="128"/>
      <c r="I4" s="129"/>
      <c r="J4" s="130"/>
      <c r="K4" s="130"/>
      <c r="L4" s="61"/>
      <c r="M4" s="130"/>
      <c r="N4" s="61"/>
      <c r="O4" s="130"/>
      <c r="P4" s="61"/>
    </row>
    <row r="5" spans="1:16" ht="20.25" customHeight="1">
      <c r="A5" s="63">
        <v>1</v>
      </c>
      <c r="B5" s="63">
        <v>1</v>
      </c>
      <c r="C5" s="64" t="s">
        <v>34</v>
      </c>
      <c r="D5" s="131" t="s">
        <v>90</v>
      </c>
      <c r="E5" s="66">
        <v>10152.737536002001</v>
      </c>
      <c r="F5" s="67" t="s">
        <v>91</v>
      </c>
      <c r="G5" s="68">
        <v>10153</v>
      </c>
      <c r="H5" s="72" t="s">
        <v>92</v>
      </c>
      <c r="I5" s="88" t="s">
        <v>93</v>
      </c>
      <c r="J5" s="132">
        <v>10152.737536002001</v>
      </c>
      <c r="K5" s="132">
        <v>10153</v>
      </c>
      <c r="L5" s="133">
        <v>1.000025851549601</v>
      </c>
      <c r="M5" s="132">
        <v>10153</v>
      </c>
      <c r="N5" s="134">
        <v>1.000025851549601</v>
      </c>
      <c r="O5" s="132">
        <v>0</v>
      </c>
      <c r="P5" s="133">
        <v>0</v>
      </c>
    </row>
    <row r="6" spans="1:16" ht="20.25" customHeight="1">
      <c r="A6" s="63">
        <v>2</v>
      </c>
      <c r="B6" s="63">
        <v>2</v>
      </c>
      <c r="C6" s="64" t="s">
        <v>34</v>
      </c>
      <c r="D6" s="131" t="s">
        <v>94</v>
      </c>
      <c r="E6" s="66">
        <v>8299.0865860787981</v>
      </c>
      <c r="F6" s="74" t="s">
        <v>91</v>
      </c>
      <c r="G6" s="68">
        <v>6913.93</v>
      </c>
      <c r="H6" s="72" t="s">
        <v>92</v>
      </c>
      <c r="I6" s="88" t="s">
        <v>95</v>
      </c>
      <c r="J6" s="132">
        <v>8299.0865860787981</v>
      </c>
      <c r="K6" s="132">
        <v>6913.93</v>
      </c>
      <c r="L6" s="133">
        <v>0.83309529648692759</v>
      </c>
      <c r="M6" s="132">
        <v>6914</v>
      </c>
      <c r="N6" s="134">
        <v>0.83310373115010095</v>
      </c>
      <c r="O6" s="132">
        <v>1518</v>
      </c>
      <c r="P6" s="133">
        <v>0.18291169567339502</v>
      </c>
    </row>
    <row r="7" spans="1:16" ht="20.25" customHeight="1">
      <c r="A7" s="63">
        <v>3</v>
      </c>
      <c r="B7" s="63">
        <v>3</v>
      </c>
      <c r="C7" s="64" t="s">
        <v>34</v>
      </c>
      <c r="D7" s="131" t="s">
        <v>96</v>
      </c>
      <c r="E7" s="66">
        <v>25690.363000958256</v>
      </c>
      <c r="F7" s="67" t="s">
        <v>91</v>
      </c>
      <c r="G7" s="68">
        <v>48593.03</v>
      </c>
      <c r="H7" s="72" t="s">
        <v>97</v>
      </c>
      <c r="I7" s="88" t="s">
        <v>98</v>
      </c>
      <c r="J7" s="132">
        <v>25690.363000958256</v>
      </c>
      <c r="K7" s="132">
        <v>48593.03</v>
      </c>
      <c r="L7" s="133">
        <v>1.891488648805292</v>
      </c>
      <c r="M7" s="132">
        <v>21147.5308318809</v>
      </c>
      <c r="N7" s="134">
        <v>0.82316979449033445</v>
      </c>
      <c r="O7" s="132">
        <v>4544.3991462205504</v>
      </c>
      <c r="P7" s="133">
        <v>0.17689120025478206</v>
      </c>
    </row>
    <row r="8" spans="1:16" ht="20.25" customHeight="1">
      <c r="A8" s="63">
        <v>4</v>
      </c>
      <c r="B8" s="63">
        <v>4</v>
      </c>
      <c r="C8" s="64" t="s">
        <v>34</v>
      </c>
      <c r="D8" s="131" t="s">
        <v>99</v>
      </c>
      <c r="E8" s="66">
        <v>8943.5345531972762</v>
      </c>
      <c r="F8" s="74" t="s">
        <v>91</v>
      </c>
      <c r="G8" s="68">
        <v>9534</v>
      </c>
      <c r="H8" s="72" t="s">
        <v>97</v>
      </c>
      <c r="I8" s="88" t="s">
        <v>100</v>
      </c>
      <c r="J8" s="132">
        <v>8943.5345531972762</v>
      </c>
      <c r="K8" s="132">
        <v>9534</v>
      </c>
      <c r="L8" s="133">
        <v>1.0660214866158968</v>
      </c>
      <c r="M8" s="132">
        <v>5433</v>
      </c>
      <c r="N8" s="134">
        <v>0.60747794596016014</v>
      </c>
      <c r="O8" s="132">
        <v>3510.5345531972762</v>
      </c>
      <c r="P8" s="133">
        <v>0.39252205403983986</v>
      </c>
    </row>
    <row r="9" spans="1:16" ht="20.25" customHeight="1">
      <c r="A9" s="63">
        <v>5</v>
      </c>
      <c r="B9" s="63">
        <v>5</v>
      </c>
      <c r="C9" s="64" t="s">
        <v>34</v>
      </c>
      <c r="D9" s="131" t="s">
        <v>101</v>
      </c>
      <c r="E9" s="66">
        <v>7460.8277971540565</v>
      </c>
      <c r="F9" s="77" t="s">
        <v>91</v>
      </c>
      <c r="G9" s="68">
        <v>6310.87</v>
      </c>
      <c r="H9" s="72" t="s">
        <v>92</v>
      </c>
      <c r="I9" s="88" t="s">
        <v>102</v>
      </c>
      <c r="J9" s="132">
        <v>7460.8277971540565</v>
      </c>
      <c r="K9" s="132">
        <v>6310.87</v>
      </c>
      <c r="L9" s="133">
        <v>0.84586726454231931</v>
      </c>
      <c r="M9" s="132">
        <v>5626</v>
      </c>
      <c r="N9" s="134">
        <v>0.75407182057546562</v>
      </c>
      <c r="O9" s="132">
        <v>1834.8277971540565</v>
      </c>
      <c r="P9" s="133">
        <v>0.2459281794245344</v>
      </c>
    </row>
    <row r="10" spans="1:16" ht="20.25" customHeight="1">
      <c r="A10" s="63">
        <v>6</v>
      </c>
      <c r="B10" s="63">
        <v>6</v>
      </c>
      <c r="C10" s="64" t="s">
        <v>34</v>
      </c>
      <c r="D10" s="131" t="s">
        <v>103</v>
      </c>
      <c r="E10" s="66">
        <v>1086.8186031881417</v>
      </c>
      <c r="F10" s="78" t="s">
        <v>104</v>
      </c>
      <c r="G10" s="68">
        <v>1087</v>
      </c>
      <c r="H10" s="72" t="s">
        <v>92</v>
      </c>
      <c r="I10" s="88" t="s">
        <v>105</v>
      </c>
      <c r="J10" s="132">
        <v>1086.8186031881417</v>
      </c>
      <c r="K10" s="132">
        <v>1087</v>
      </c>
      <c r="L10" s="133">
        <v>1.0001669062448197</v>
      </c>
      <c r="M10" s="132"/>
      <c r="N10" s="134">
        <v>0</v>
      </c>
      <c r="O10" s="132">
        <v>1086.8186031881417</v>
      </c>
      <c r="P10" s="133">
        <v>1</v>
      </c>
    </row>
    <row r="11" spans="1:16" ht="20.25" customHeight="1">
      <c r="A11" s="63">
        <v>7</v>
      </c>
      <c r="B11" s="63">
        <v>7</v>
      </c>
      <c r="C11" s="64" t="s">
        <v>34</v>
      </c>
      <c r="D11" s="131" t="s">
        <v>106</v>
      </c>
      <c r="E11" s="66">
        <v>9300.088891497624</v>
      </c>
      <c r="F11" s="77" t="s">
        <v>91</v>
      </c>
      <c r="G11" s="68">
        <v>9102.35</v>
      </c>
      <c r="H11" s="72" t="s">
        <v>97</v>
      </c>
      <c r="I11" s="88" t="s">
        <v>107</v>
      </c>
      <c r="J11" s="132">
        <v>9300.088891497624</v>
      </c>
      <c r="K11" s="132">
        <v>9102.35</v>
      </c>
      <c r="L11" s="133">
        <v>0.97873795682981035</v>
      </c>
      <c r="M11" s="132">
        <v>7271</v>
      </c>
      <c r="N11" s="134">
        <v>0.78182048417271921</v>
      </c>
      <c r="O11" s="132">
        <v>2029.088891497624</v>
      </c>
      <c r="P11" s="133">
        <v>0.21817951582728079</v>
      </c>
    </row>
    <row r="12" spans="1:16" ht="20.25" customHeight="1">
      <c r="A12" s="63">
        <v>8</v>
      </c>
      <c r="B12" s="63">
        <v>8</v>
      </c>
      <c r="C12" s="64" t="s">
        <v>34</v>
      </c>
      <c r="D12" s="131" t="s">
        <v>108</v>
      </c>
      <c r="E12" s="66">
        <v>4105.8639298608623</v>
      </c>
      <c r="F12" s="78" t="s">
        <v>91</v>
      </c>
      <c r="G12" s="68">
        <v>6001.93</v>
      </c>
      <c r="H12" s="72" t="s">
        <v>97</v>
      </c>
      <c r="I12" s="88" t="s">
        <v>107</v>
      </c>
      <c r="J12" s="132">
        <v>4105.8639298608623</v>
      </c>
      <c r="K12" s="132">
        <v>6001.93</v>
      </c>
      <c r="L12" s="133">
        <v>1.4617946679502822</v>
      </c>
      <c r="M12" s="135">
        <v>3745.9690595571801</v>
      </c>
      <c r="N12" s="134">
        <v>0.91234612825664729</v>
      </c>
      <c r="O12" s="132">
        <v>359.89487030368218</v>
      </c>
      <c r="P12" s="133">
        <v>8.7653871743352721E-2</v>
      </c>
    </row>
    <row r="13" spans="1:16" ht="20.25" customHeight="1">
      <c r="A13" s="63">
        <v>9</v>
      </c>
      <c r="B13" s="63">
        <v>9</v>
      </c>
      <c r="C13" s="64" t="s">
        <v>34</v>
      </c>
      <c r="D13" s="131" t="s">
        <v>109</v>
      </c>
      <c r="E13" s="66">
        <v>8779.5534830513752</v>
      </c>
      <c r="F13" s="77" t="s">
        <v>91</v>
      </c>
      <c r="G13" s="68">
        <v>27216.18</v>
      </c>
      <c r="H13" s="72" t="s">
        <v>97</v>
      </c>
      <c r="I13" s="88" t="s">
        <v>110</v>
      </c>
      <c r="J13" s="132">
        <v>8779.5534830513752</v>
      </c>
      <c r="K13" s="132">
        <v>27216.18</v>
      </c>
      <c r="L13" s="133">
        <v>3.0999503622296847</v>
      </c>
      <c r="M13" s="132">
        <v>7969.5005912720599</v>
      </c>
      <c r="N13" s="134">
        <v>0.90773415830963444</v>
      </c>
      <c r="O13" s="132">
        <v>810.05289177931536</v>
      </c>
      <c r="P13" s="133">
        <v>9.2265841690365516E-2</v>
      </c>
    </row>
    <row r="14" spans="1:16" ht="20.25" customHeight="1">
      <c r="A14" s="63">
        <v>10</v>
      </c>
      <c r="B14" s="63">
        <v>10</v>
      </c>
      <c r="C14" s="64" t="s">
        <v>34</v>
      </c>
      <c r="D14" s="131" t="s">
        <v>111</v>
      </c>
      <c r="E14" s="66">
        <v>19509.322020917971</v>
      </c>
      <c r="F14" s="78" t="s">
        <v>91</v>
      </c>
      <c r="G14" s="68">
        <v>48087.48</v>
      </c>
      <c r="H14" s="72" t="s">
        <v>97</v>
      </c>
      <c r="I14" s="88" t="s">
        <v>112</v>
      </c>
      <c r="J14" s="132">
        <v>19509.322020917971</v>
      </c>
      <c r="K14" s="132">
        <v>48087.48</v>
      </c>
      <c r="L14" s="133">
        <v>2.4648462898116308</v>
      </c>
      <c r="M14" s="132">
        <v>18096.740574219599</v>
      </c>
      <c r="N14" s="134">
        <v>0.92759453941127235</v>
      </c>
      <c r="O14" s="132">
        <v>1412.581446698372</v>
      </c>
      <c r="P14" s="133">
        <v>7.2405460588727613E-2</v>
      </c>
    </row>
    <row r="15" spans="1:16" ht="20.25" customHeight="1">
      <c r="A15" s="63">
        <v>11</v>
      </c>
      <c r="B15" s="63">
        <v>11</v>
      </c>
      <c r="C15" s="64" t="s">
        <v>34</v>
      </c>
      <c r="D15" s="131" t="s">
        <v>113</v>
      </c>
      <c r="E15" s="66">
        <v>38413.041647914986</v>
      </c>
      <c r="F15" s="77" t="s">
        <v>91</v>
      </c>
      <c r="G15" s="68">
        <v>40592.840000000004</v>
      </c>
      <c r="H15" s="72" t="s">
        <v>97</v>
      </c>
      <c r="I15" s="88" t="s">
        <v>114</v>
      </c>
      <c r="J15" s="132">
        <v>38413.041647914986</v>
      </c>
      <c r="K15" s="132">
        <v>40592.840000000004</v>
      </c>
      <c r="L15" s="133">
        <v>1.0567463095493594</v>
      </c>
      <c r="M15" s="132">
        <v>35670.601940211302</v>
      </c>
      <c r="N15" s="134">
        <v>0.92860654636932294</v>
      </c>
      <c r="O15" s="132">
        <v>2742.4397077036847</v>
      </c>
      <c r="P15" s="133">
        <v>7.1393453630677048E-2</v>
      </c>
    </row>
    <row r="16" spans="1:16" ht="20.25" customHeight="1">
      <c r="A16" s="63">
        <v>12</v>
      </c>
      <c r="B16" s="63">
        <v>12</v>
      </c>
      <c r="C16" s="64" t="s">
        <v>34</v>
      </c>
      <c r="D16" s="131" t="s">
        <v>115</v>
      </c>
      <c r="E16" s="66">
        <v>940.75715469039005</v>
      </c>
      <c r="F16" s="78" t="s">
        <v>104</v>
      </c>
      <c r="G16" s="68">
        <v>3197.5</v>
      </c>
      <c r="H16" s="72" t="s">
        <v>116</v>
      </c>
      <c r="I16" s="88" t="s">
        <v>117</v>
      </c>
      <c r="J16" s="132">
        <v>940.75715469039005</v>
      </c>
      <c r="K16" s="132">
        <v>3197.5</v>
      </c>
      <c r="L16" s="133">
        <v>3.3988580199024052</v>
      </c>
      <c r="M16" s="132"/>
      <c r="N16" s="134">
        <v>0</v>
      </c>
      <c r="O16" s="132">
        <v>940.75715469039005</v>
      </c>
      <c r="P16" s="133">
        <v>1</v>
      </c>
    </row>
    <row r="17" spans="1:16" ht="20.25" customHeight="1">
      <c r="A17" s="63">
        <v>13</v>
      </c>
      <c r="B17" s="63">
        <v>13</v>
      </c>
      <c r="C17" s="64" t="s">
        <v>34</v>
      </c>
      <c r="D17" s="131" t="s">
        <v>118</v>
      </c>
      <c r="E17" s="66">
        <v>14929.554070471704</v>
      </c>
      <c r="F17" s="77" t="s">
        <v>91</v>
      </c>
      <c r="G17" s="68">
        <v>17301.72</v>
      </c>
      <c r="H17" s="72" t="s">
        <v>97</v>
      </c>
      <c r="I17" s="88" t="s">
        <v>119</v>
      </c>
      <c r="J17" s="132">
        <v>14929.554070471704</v>
      </c>
      <c r="K17" s="132">
        <v>17301.72</v>
      </c>
      <c r="L17" s="133">
        <v>1.1588906084087311</v>
      </c>
      <c r="M17" s="132">
        <v>13425.0938352004</v>
      </c>
      <c r="N17" s="134">
        <v>0.8992293923736886</v>
      </c>
      <c r="O17" s="132">
        <v>1504.4602352713046</v>
      </c>
      <c r="P17" s="133">
        <v>0.10077060762631142</v>
      </c>
    </row>
    <row r="18" spans="1:16" ht="20.25" customHeight="1">
      <c r="A18" s="63">
        <v>14</v>
      </c>
      <c r="B18" s="63">
        <v>14</v>
      </c>
      <c r="C18" s="64" t="s">
        <v>34</v>
      </c>
      <c r="D18" s="131" t="s">
        <v>120</v>
      </c>
      <c r="E18" s="66">
        <v>4855.1431793968031</v>
      </c>
      <c r="F18" s="78" t="s">
        <v>104</v>
      </c>
      <c r="G18" s="68">
        <v>4438.5</v>
      </c>
      <c r="H18" s="72" t="s">
        <v>92</v>
      </c>
      <c r="I18" s="88" t="s">
        <v>121</v>
      </c>
      <c r="J18" s="132">
        <v>4855.1431793968031</v>
      </c>
      <c r="K18" s="132">
        <v>4438.5</v>
      </c>
      <c r="L18" s="133">
        <v>0.91418519207325077</v>
      </c>
      <c r="M18" s="132"/>
      <c r="N18" s="134">
        <v>0</v>
      </c>
      <c r="O18" s="132">
        <v>4855.1431793968031</v>
      </c>
      <c r="P18" s="133">
        <v>1</v>
      </c>
    </row>
    <row r="19" spans="1:16" ht="20.25" customHeight="1">
      <c r="A19" s="63">
        <v>15</v>
      </c>
      <c r="B19" s="63">
        <v>15</v>
      </c>
      <c r="C19" s="64" t="s">
        <v>34</v>
      </c>
      <c r="D19" s="131" t="s">
        <v>122</v>
      </c>
      <c r="E19" s="66">
        <v>58.377182690578763</v>
      </c>
      <c r="F19" s="77" t="s">
        <v>123</v>
      </c>
      <c r="G19" s="68"/>
      <c r="H19" s="72" t="s">
        <v>116</v>
      </c>
      <c r="I19" s="88" t="s">
        <v>124</v>
      </c>
      <c r="J19" s="132">
        <v>58.377182690578763</v>
      </c>
      <c r="K19" s="132"/>
      <c r="L19" s="133">
        <v>0</v>
      </c>
      <c r="M19" s="132"/>
      <c r="N19" s="134">
        <v>0</v>
      </c>
      <c r="O19" s="132">
        <v>58.377182690578763</v>
      </c>
      <c r="P19" s="133">
        <v>1</v>
      </c>
    </row>
    <row r="20" spans="1:16" ht="20.25" customHeight="1">
      <c r="A20" s="63">
        <v>16</v>
      </c>
      <c r="B20" s="63">
        <v>16</v>
      </c>
      <c r="C20" s="64" t="s">
        <v>34</v>
      </c>
      <c r="D20" s="131" t="s">
        <v>125</v>
      </c>
      <c r="E20" s="66">
        <v>1083.8856710725488</v>
      </c>
      <c r="F20" s="78" t="s">
        <v>91</v>
      </c>
      <c r="G20" s="68">
        <v>990.58</v>
      </c>
      <c r="H20" s="72" t="s">
        <v>126</v>
      </c>
      <c r="I20" s="88" t="s">
        <v>127</v>
      </c>
      <c r="J20" s="132">
        <v>1083.8856710725488</v>
      </c>
      <c r="K20" s="132">
        <v>990.58</v>
      </c>
      <c r="L20" s="133">
        <v>0.91391557840208459</v>
      </c>
      <c r="M20" s="132">
        <v>897</v>
      </c>
      <c r="N20" s="134">
        <v>0.82757805914380445</v>
      </c>
      <c r="O20" s="132">
        <v>186.8856710725488</v>
      </c>
      <c r="P20" s="133">
        <v>0.17242194085619553</v>
      </c>
    </row>
    <row r="21" spans="1:16" ht="20.25" customHeight="1">
      <c r="A21" s="63">
        <v>17</v>
      </c>
      <c r="B21" s="63">
        <v>17</v>
      </c>
      <c r="C21" s="64" t="s">
        <v>34</v>
      </c>
      <c r="D21" s="131" t="s">
        <v>128</v>
      </c>
      <c r="E21" s="66">
        <v>1068.482504323114</v>
      </c>
      <c r="F21" s="77" t="s">
        <v>104</v>
      </c>
      <c r="G21" s="68">
        <v>860</v>
      </c>
      <c r="H21" s="72" t="s">
        <v>116</v>
      </c>
      <c r="I21" s="88" t="s">
        <v>970</v>
      </c>
      <c r="J21" s="132">
        <v>1068.482504323114</v>
      </c>
      <c r="K21" s="132">
        <v>860</v>
      </c>
      <c r="L21" s="133">
        <v>0.80487981461597435</v>
      </c>
      <c r="M21" s="132"/>
      <c r="N21" s="134">
        <v>0</v>
      </c>
      <c r="O21" s="132">
        <v>1068.482504323114</v>
      </c>
      <c r="P21" s="133">
        <v>1</v>
      </c>
    </row>
    <row r="22" spans="1:16" ht="20.25" customHeight="1">
      <c r="A22" s="63">
        <v>18</v>
      </c>
      <c r="B22" s="63">
        <v>18</v>
      </c>
      <c r="C22" s="64" t="s">
        <v>34</v>
      </c>
      <c r="D22" s="131" t="s">
        <v>130</v>
      </c>
      <c r="E22" s="66">
        <v>0</v>
      </c>
      <c r="F22" s="78" t="s">
        <v>123</v>
      </c>
      <c r="G22" s="68"/>
      <c r="H22" s="72" t="s">
        <v>116</v>
      </c>
      <c r="I22" s="88" t="s">
        <v>131</v>
      </c>
      <c r="J22" s="132">
        <v>0</v>
      </c>
      <c r="K22" s="132"/>
      <c r="L22" s="133" t="s">
        <v>394</v>
      </c>
      <c r="M22" s="132"/>
      <c r="N22" s="134" t="s">
        <v>394</v>
      </c>
      <c r="O22" s="132">
        <v>0</v>
      </c>
      <c r="P22" s="133" t="s">
        <v>394</v>
      </c>
    </row>
    <row r="23" spans="1:16" ht="20.25" customHeight="1">
      <c r="A23" s="63">
        <v>19</v>
      </c>
      <c r="B23" s="63">
        <v>19</v>
      </c>
      <c r="C23" s="64" t="s">
        <v>34</v>
      </c>
      <c r="D23" s="131" t="s">
        <v>132</v>
      </c>
      <c r="E23" s="66">
        <v>1855.5285676533017</v>
      </c>
      <c r="F23" s="77" t="s">
        <v>104</v>
      </c>
      <c r="G23" s="68">
        <v>755.46</v>
      </c>
      <c r="H23" s="72" t="s">
        <v>116</v>
      </c>
      <c r="I23" s="88" t="s">
        <v>133</v>
      </c>
      <c r="J23" s="132">
        <v>1855.5285676533017</v>
      </c>
      <c r="K23" s="132">
        <v>755.46</v>
      </c>
      <c r="L23" s="133">
        <v>0.40714005333554898</v>
      </c>
      <c r="M23" s="132"/>
      <c r="N23" s="134">
        <v>0</v>
      </c>
      <c r="O23" s="132">
        <v>1855.5285676533017</v>
      </c>
      <c r="P23" s="133">
        <v>1</v>
      </c>
    </row>
    <row r="24" spans="1:16" ht="20.25" customHeight="1">
      <c r="A24" s="63">
        <v>20</v>
      </c>
      <c r="B24" s="63">
        <v>20</v>
      </c>
      <c r="C24" s="64" t="s">
        <v>34</v>
      </c>
      <c r="D24" s="131" t="s">
        <v>134</v>
      </c>
      <c r="E24" s="66">
        <v>6691.6246575829127</v>
      </c>
      <c r="F24" s="78" t="s">
        <v>91</v>
      </c>
      <c r="G24" s="68">
        <v>6845.7199999999993</v>
      </c>
      <c r="H24" s="72" t="s">
        <v>97</v>
      </c>
      <c r="I24" s="88" t="s">
        <v>135</v>
      </c>
      <c r="J24" s="132">
        <v>6691.6246575829127</v>
      </c>
      <c r="K24" s="132">
        <v>6845.7199999999993</v>
      </c>
      <c r="L24" s="133">
        <v>1.0230280911291798</v>
      </c>
      <c r="M24" s="132">
        <v>5596.2444755075003</v>
      </c>
      <c r="N24" s="134">
        <v>0.83630579446291364</v>
      </c>
      <c r="O24" s="132">
        <v>1095.3801820754124</v>
      </c>
      <c r="P24" s="133">
        <v>0.16369420553708636</v>
      </c>
    </row>
    <row r="25" spans="1:16" ht="20.25" customHeight="1">
      <c r="A25" s="63">
        <v>21</v>
      </c>
      <c r="B25" s="63">
        <v>21</v>
      </c>
      <c r="C25" s="64" t="s">
        <v>34</v>
      </c>
      <c r="D25" s="131" t="s">
        <v>136</v>
      </c>
      <c r="E25" s="66">
        <v>24784.179962587183</v>
      </c>
      <c r="F25" s="77" t="s">
        <v>91</v>
      </c>
      <c r="G25" s="68">
        <v>26242.87</v>
      </c>
      <c r="H25" s="72" t="s">
        <v>97</v>
      </c>
      <c r="I25" s="88" t="s">
        <v>137</v>
      </c>
      <c r="J25" s="132">
        <v>24784.179962587183</v>
      </c>
      <c r="K25" s="132">
        <v>26242.87</v>
      </c>
      <c r="L25" s="133">
        <v>1.0588556909938023</v>
      </c>
      <c r="M25" s="132">
        <v>23129.5172175261</v>
      </c>
      <c r="N25" s="134">
        <v>0.93323713967704924</v>
      </c>
      <c r="O25" s="132">
        <v>1654.6627450610831</v>
      </c>
      <c r="P25" s="133">
        <v>6.6762860322950757E-2</v>
      </c>
    </row>
    <row r="26" spans="1:16" ht="20.25" customHeight="1">
      <c r="A26" s="63">
        <v>22</v>
      </c>
      <c r="B26" s="63">
        <v>22</v>
      </c>
      <c r="C26" s="64" t="s">
        <v>34</v>
      </c>
      <c r="D26" s="131" t="s">
        <v>138</v>
      </c>
      <c r="E26" s="66">
        <v>8818.0422845580142</v>
      </c>
      <c r="F26" s="78" t="s">
        <v>91</v>
      </c>
      <c r="G26" s="68">
        <v>19599.64</v>
      </c>
      <c r="H26" s="72" t="s">
        <v>97</v>
      </c>
      <c r="I26" s="88" t="s">
        <v>139</v>
      </c>
      <c r="J26" s="132">
        <v>8818.0422845580142</v>
      </c>
      <c r="K26" s="132">
        <v>19599.64</v>
      </c>
      <c r="L26" s="133">
        <v>2.2226747579020474</v>
      </c>
      <c r="M26" s="132">
        <v>7892</v>
      </c>
      <c r="N26" s="134">
        <v>0.89498323384322143</v>
      </c>
      <c r="O26" s="132">
        <v>926.04228455801422</v>
      </c>
      <c r="P26" s="133">
        <v>0.10501676615677855</v>
      </c>
    </row>
    <row r="27" spans="1:16" ht="20.25" customHeight="1">
      <c r="A27" s="63">
        <v>23</v>
      </c>
      <c r="B27" s="63">
        <v>23</v>
      </c>
      <c r="C27" s="64" t="s">
        <v>34</v>
      </c>
      <c r="D27" s="131" t="s">
        <v>140</v>
      </c>
      <c r="E27" s="66">
        <v>7171.548211449719</v>
      </c>
      <c r="F27" s="77" t="s">
        <v>91</v>
      </c>
      <c r="G27" s="68">
        <v>7030</v>
      </c>
      <c r="H27" s="72" t="s">
        <v>92</v>
      </c>
      <c r="I27" s="88" t="s">
        <v>141</v>
      </c>
      <c r="J27" s="132">
        <v>7171.548211449719</v>
      </c>
      <c r="K27" s="132">
        <v>7030</v>
      </c>
      <c r="L27" s="133">
        <v>0.98026253086833737</v>
      </c>
      <c r="M27" s="132">
        <v>6424</v>
      </c>
      <c r="N27" s="134">
        <v>0.8957619485488193</v>
      </c>
      <c r="O27" s="132">
        <v>747.54821144971902</v>
      </c>
      <c r="P27" s="133">
        <v>0.10423805145118074</v>
      </c>
    </row>
    <row r="28" spans="1:16" ht="20.25" customHeight="1">
      <c r="A28" s="63">
        <v>24</v>
      </c>
      <c r="B28" s="63">
        <v>1</v>
      </c>
      <c r="C28" s="62" t="s">
        <v>35</v>
      </c>
      <c r="D28" s="131" t="s">
        <v>142</v>
      </c>
      <c r="E28" s="66">
        <v>6538.009697936126</v>
      </c>
      <c r="F28" s="78" t="s">
        <v>91</v>
      </c>
      <c r="G28" s="68"/>
      <c r="H28" s="72" t="s">
        <v>116</v>
      </c>
      <c r="I28" s="88" t="s">
        <v>143</v>
      </c>
      <c r="J28" s="132">
        <v>6538.009697936126</v>
      </c>
      <c r="K28" s="132"/>
      <c r="L28" s="133">
        <v>0</v>
      </c>
      <c r="M28" s="132">
        <v>4508</v>
      </c>
      <c r="N28" s="134">
        <v>0.68950647188899927</v>
      </c>
      <c r="O28" s="132">
        <v>2030.009697936126</v>
      </c>
      <c r="P28" s="133">
        <v>0.31049352811100073</v>
      </c>
    </row>
    <row r="29" spans="1:16" ht="20.25" customHeight="1">
      <c r="A29" s="63">
        <v>25</v>
      </c>
      <c r="B29" s="63">
        <v>2</v>
      </c>
      <c r="C29" s="62" t="s">
        <v>35</v>
      </c>
      <c r="D29" s="131" t="s">
        <v>144</v>
      </c>
      <c r="E29" s="66">
        <v>12075.262265283354</v>
      </c>
      <c r="F29" s="77" t="s">
        <v>91</v>
      </c>
      <c r="G29" s="68">
        <v>12061</v>
      </c>
      <c r="H29" s="72" t="s">
        <v>116</v>
      </c>
      <c r="I29" s="88" t="s">
        <v>145</v>
      </c>
      <c r="J29" s="132">
        <v>12075.262265283354</v>
      </c>
      <c r="K29" s="132">
        <v>12061</v>
      </c>
      <c r="L29" s="133">
        <v>0.99881888567138133</v>
      </c>
      <c r="M29" s="132">
        <v>11945</v>
      </c>
      <c r="N29" s="134">
        <v>0.98921246906099414</v>
      </c>
      <c r="O29" s="132">
        <v>130.26226528335428</v>
      </c>
      <c r="P29" s="133">
        <v>1.078753093900587E-2</v>
      </c>
    </row>
    <row r="30" spans="1:16" ht="20.25" customHeight="1">
      <c r="A30" s="63">
        <v>26</v>
      </c>
      <c r="B30" s="63">
        <v>3</v>
      </c>
      <c r="C30" s="62" t="s">
        <v>35</v>
      </c>
      <c r="D30" s="131" t="s">
        <v>146</v>
      </c>
      <c r="E30" s="66">
        <v>5694.1589052428772</v>
      </c>
      <c r="F30" s="78" t="s">
        <v>123</v>
      </c>
      <c r="G30" s="68"/>
      <c r="H30" s="72" t="s">
        <v>116</v>
      </c>
      <c r="I30" s="88" t="s">
        <v>147</v>
      </c>
      <c r="J30" s="132">
        <v>5694.1589052428772</v>
      </c>
      <c r="K30" s="132"/>
      <c r="L30" s="133">
        <v>0</v>
      </c>
      <c r="M30" s="132"/>
      <c r="N30" s="134">
        <v>0</v>
      </c>
      <c r="O30" s="132">
        <v>5694.1589052428772</v>
      </c>
      <c r="P30" s="133">
        <v>1</v>
      </c>
    </row>
    <row r="31" spans="1:16" ht="20.25" customHeight="1">
      <c r="A31" s="63">
        <v>27</v>
      </c>
      <c r="B31" s="63">
        <v>4</v>
      </c>
      <c r="C31" s="62" t="s">
        <v>35</v>
      </c>
      <c r="D31" s="131" t="s">
        <v>148</v>
      </c>
      <c r="E31" s="66">
        <v>33861.22374609606</v>
      </c>
      <c r="F31" s="77" t="s">
        <v>91</v>
      </c>
      <c r="G31" s="68">
        <v>26212.959999999999</v>
      </c>
      <c r="H31" s="72" t="s">
        <v>116</v>
      </c>
      <c r="I31" s="88" t="s">
        <v>149</v>
      </c>
      <c r="J31" s="132">
        <v>33861.22374609606</v>
      </c>
      <c r="K31" s="132">
        <v>26212.959999999999</v>
      </c>
      <c r="L31" s="133">
        <v>0.77412913947099005</v>
      </c>
      <c r="M31" s="132">
        <v>19894</v>
      </c>
      <c r="N31" s="134">
        <v>0.58751568310621449</v>
      </c>
      <c r="O31" s="132">
        <v>13967.22374609606</v>
      </c>
      <c r="P31" s="133">
        <v>0.41248431689378545</v>
      </c>
    </row>
    <row r="32" spans="1:16" ht="20.25" customHeight="1">
      <c r="A32" s="63">
        <v>28</v>
      </c>
      <c r="B32" s="63">
        <v>5</v>
      </c>
      <c r="C32" s="62" t="s">
        <v>35</v>
      </c>
      <c r="D32" s="131" t="s">
        <v>150</v>
      </c>
      <c r="E32" s="66">
        <v>11836.711348452704</v>
      </c>
      <c r="F32" s="78" t="s">
        <v>123</v>
      </c>
      <c r="G32" s="68"/>
      <c r="H32" s="72" t="s">
        <v>116</v>
      </c>
      <c r="I32" s="88" t="s">
        <v>151</v>
      </c>
      <c r="J32" s="132">
        <v>11836.711348452704</v>
      </c>
      <c r="K32" s="132"/>
      <c r="L32" s="133">
        <v>0</v>
      </c>
      <c r="M32" s="132"/>
      <c r="N32" s="134">
        <v>0</v>
      </c>
      <c r="O32" s="132">
        <v>11836.711348452704</v>
      </c>
      <c r="P32" s="133">
        <v>1</v>
      </c>
    </row>
    <row r="33" spans="1:16" ht="20.25" customHeight="1">
      <c r="A33" s="63">
        <v>29</v>
      </c>
      <c r="B33" s="63">
        <v>6</v>
      </c>
      <c r="C33" s="62" t="s">
        <v>35</v>
      </c>
      <c r="D33" s="131" t="s">
        <v>152</v>
      </c>
      <c r="E33" s="66">
        <v>14471.96725497933</v>
      </c>
      <c r="F33" s="77" t="s">
        <v>104</v>
      </c>
      <c r="G33" s="68">
        <v>12768</v>
      </c>
      <c r="H33" s="72" t="s">
        <v>116</v>
      </c>
      <c r="I33" s="88" t="s">
        <v>153</v>
      </c>
      <c r="J33" s="132">
        <v>14471.96725497933</v>
      </c>
      <c r="K33" s="132">
        <v>12768</v>
      </c>
      <c r="L33" s="133">
        <v>0.8822573859546945</v>
      </c>
      <c r="M33" s="132"/>
      <c r="N33" s="134">
        <v>0</v>
      </c>
      <c r="O33" s="132">
        <v>14471.96725497933</v>
      </c>
      <c r="P33" s="133">
        <v>1</v>
      </c>
    </row>
    <row r="34" spans="1:16" ht="20.25" customHeight="1">
      <c r="A34" s="63">
        <v>30</v>
      </c>
      <c r="B34" s="63">
        <v>7</v>
      </c>
      <c r="C34" s="62" t="s">
        <v>35</v>
      </c>
      <c r="D34" s="131" t="s">
        <v>154</v>
      </c>
      <c r="E34" s="66">
        <v>1208.3647847157999</v>
      </c>
      <c r="F34" s="78" t="s">
        <v>123</v>
      </c>
      <c r="G34" s="68"/>
      <c r="H34" s="72" t="s">
        <v>116</v>
      </c>
      <c r="I34" s="88" t="s">
        <v>155</v>
      </c>
      <c r="J34" s="132">
        <v>1208.3647847157999</v>
      </c>
      <c r="K34" s="132"/>
      <c r="L34" s="133">
        <v>0</v>
      </c>
      <c r="M34" s="132"/>
      <c r="N34" s="134">
        <v>0</v>
      </c>
      <c r="O34" s="132">
        <v>1208.3647847157999</v>
      </c>
      <c r="P34" s="133">
        <v>1</v>
      </c>
    </row>
    <row r="35" spans="1:16" ht="20.25" customHeight="1">
      <c r="A35" s="63">
        <v>31</v>
      </c>
      <c r="B35" s="63">
        <v>8</v>
      </c>
      <c r="C35" s="62" t="s">
        <v>35</v>
      </c>
      <c r="D35" s="131" t="s">
        <v>156</v>
      </c>
      <c r="E35" s="66">
        <v>1163.5455893254978</v>
      </c>
      <c r="F35" s="77" t="s">
        <v>123</v>
      </c>
      <c r="G35" s="68"/>
      <c r="H35" s="72" t="s">
        <v>116</v>
      </c>
      <c r="I35" s="88" t="s">
        <v>157</v>
      </c>
      <c r="J35" s="132">
        <v>1163.5455893254978</v>
      </c>
      <c r="K35" s="132"/>
      <c r="L35" s="133">
        <v>0</v>
      </c>
      <c r="M35" s="132"/>
      <c r="N35" s="134">
        <v>0</v>
      </c>
      <c r="O35" s="132">
        <v>1163.5455893254978</v>
      </c>
      <c r="P35" s="133">
        <v>1</v>
      </c>
    </row>
    <row r="36" spans="1:16" ht="20.25" customHeight="1">
      <c r="A36" s="63">
        <v>32</v>
      </c>
      <c r="B36" s="63">
        <v>9</v>
      </c>
      <c r="C36" s="62" t="s">
        <v>35</v>
      </c>
      <c r="D36" s="131" t="s">
        <v>158</v>
      </c>
      <c r="E36" s="66">
        <v>1005.7925164686635</v>
      </c>
      <c r="F36" s="78" t="s">
        <v>91</v>
      </c>
      <c r="G36" s="68">
        <v>121</v>
      </c>
      <c r="H36" s="72" t="s">
        <v>116</v>
      </c>
      <c r="I36" s="88" t="s">
        <v>159</v>
      </c>
      <c r="J36" s="132">
        <v>1005.7925164686635</v>
      </c>
      <c r="K36" s="132">
        <v>121</v>
      </c>
      <c r="L36" s="133">
        <v>0.12030314206833718</v>
      </c>
      <c r="M36" s="132">
        <v>47</v>
      </c>
      <c r="N36" s="134">
        <v>4.6729319646378907E-2</v>
      </c>
      <c r="O36" s="132">
        <v>958.79251646866351</v>
      </c>
      <c r="P36" s="133">
        <v>0.95327068035362106</v>
      </c>
    </row>
    <row r="37" spans="1:16" ht="20.25" customHeight="1">
      <c r="A37" s="63">
        <v>33</v>
      </c>
      <c r="B37" s="63">
        <v>10</v>
      </c>
      <c r="C37" s="62" t="s">
        <v>35</v>
      </c>
      <c r="D37" s="131" t="s">
        <v>160</v>
      </c>
      <c r="E37" s="66">
        <v>3066.2104740226682</v>
      </c>
      <c r="F37" s="77" t="s">
        <v>123</v>
      </c>
      <c r="G37" s="68">
        <v>0</v>
      </c>
      <c r="H37" s="72" t="s">
        <v>126</v>
      </c>
      <c r="I37" s="88" t="s">
        <v>161</v>
      </c>
      <c r="J37" s="132">
        <v>3066.2104740226682</v>
      </c>
      <c r="K37" s="132">
        <v>0</v>
      </c>
      <c r="L37" s="133">
        <v>0</v>
      </c>
      <c r="M37" s="132"/>
      <c r="N37" s="134">
        <v>0</v>
      </c>
      <c r="O37" s="132">
        <v>3066.2104740226682</v>
      </c>
      <c r="P37" s="133">
        <v>1</v>
      </c>
    </row>
    <row r="38" spans="1:16" ht="20.25" customHeight="1">
      <c r="A38" s="63">
        <v>34</v>
      </c>
      <c r="B38" s="63">
        <v>11</v>
      </c>
      <c r="C38" s="62" t="s">
        <v>35</v>
      </c>
      <c r="D38" s="131" t="s">
        <v>162</v>
      </c>
      <c r="E38" s="66">
        <v>1519.7260469217113</v>
      </c>
      <c r="F38" s="78" t="s">
        <v>104</v>
      </c>
      <c r="G38" s="68">
        <v>1622</v>
      </c>
      <c r="H38" s="72" t="s">
        <v>116</v>
      </c>
      <c r="I38" s="88" t="s">
        <v>163</v>
      </c>
      <c r="J38" s="132">
        <v>1519.7260469217113</v>
      </c>
      <c r="K38" s="132">
        <v>1622</v>
      </c>
      <c r="L38" s="133">
        <v>1.0672976246511339</v>
      </c>
      <c r="M38" s="132"/>
      <c r="N38" s="134">
        <v>0</v>
      </c>
      <c r="O38" s="132">
        <v>1519.7260469217113</v>
      </c>
      <c r="P38" s="133">
        <v>1</v>
      </c>
    </row>
    <row r="39" spans="1:16" ht="20.25" customHeight="1">
      <c r="A39" s="63">
        <v>35</v>
      </c>
      <c r="B39" s="63">
        <v>12</v>
      </c>
      <c r="C39" s="62" t="s">
        <v>35</v>
      </c>
      <c r="D39" s="131" t="s">
        <v>164</v>
      </c>
      <c r="E39" s="66"/>
      <c r="F39" s="77" t="s">
        <v>123</v>
      </c>
      <c r="G39" s="68"/>
      <c r="H39" s="72" t="s">
        <v>116</v>
      </c>
      <c r="I39" s="88" t="s">
        <v>165</v>
      </c>
      <c r="J39" s="132">
        <v>0</v>
      </c>
      <c r="K39" s="132"/>
      <c r="L39" s="133" t="s">
        <v>394</v>
      </c>
      <c r="M39" s="132"/>
      <c r="N39" s="134" t="s">
        <v>394</v>
      </c>
      <c r="O39" s="132">
        <v>0</v>
      </c>
      <c r="P39" s="133" t="s">
        <v>394</v>
      </c>
    </row>
    <row r="40" spans="1:16" ht="20.25" customHeight="1">
      <c r="A40" s="63">
        <v>36</v>
      </c>
      <c r="B40" s="63">
        <v>13</v>
      </c>
      <c r="C40" s="62" t="s">
        <v>35</v>
      </c>
      <c r="D40" s="131" t="s">
        <v>166</v>
      </c>
      <c r="E40" s="66">
        <v>72.74749021292601</v>
      </c>
      <c r="F40" s="78" t="s">
        <v>104</v>
      </c>
      <c r="G40" s="68">
        <v>359.61</v>
      </c>
      <c r="H40" s="72" t="s">
        <v>116</v>
      </c>
      <c r="I40" s="88" t="s">
        <v>167</v>
      </c>
      <c r="J40" s="132">
        <v>72.74749021292601</v>
      </c>
      <c r="K40" s="132">
        <v>359.61</v>
      </c>
      <c r="L40" s="133">
        <v>4.9432633201152463</v>
      </c>
      <c r="M40" s="132"/>
      <c r="N40" s="134">
        <v>0</v>
      </c>
      <c r="O40" s="132">
        <v>72.74749021292601</v>
      </c>
      <c r="P40" s="133">
        <v>1</v>
      </c>
    </row>
    <row r="41" spans="1:16" ht="20.25" customHeight="1">
      <c r="A41" s="63">
        <v>37</v>
      </c>
      <c r="B41" s="63">
        <v>14</v>
      </c>
      <c r="C41" s="62" t="s">
        <v>35</v>
      </c>
      <c r="D41" s="131" t="s">
        <v>168</v>
      </c>
      <c r="E41" s="66">
        <v>255.6425843877</v>
      </c>
      <c r="F41" s="77" t="s">
        <v>91</v>
      </c>
      <c r="G41" s="68">
        <v>230.29</v>
      </c>
      <c r="H41" s="72" t="s">
        <v>126</v>
      </c>
      <c r="I41" s="88" t="s">
        <v>169</v>
      </c>
      <c r="J41" s="132">
        <v>255.6425843877</v>
      </c>
      <c r="K41" s="132">
        <v>230.29</v>
      </c>
      <c r="L41" s="133">
        <v>0.90082800778898786</v>
      </c>
      <c r="M41" s="132">
        <v>210</v>
      </c>
      <c r="N41" s="134">
        <v>0.82145938440960287</v>
      </c>
      <c r="O41" s="132">
        <v>45.642584387699998</v>
      </c>
      <c r="P41" s="133">
        <v>0.17854061559039711</v>
      </c>
    </row>
    <row r="42" spans="1:16" ht="20.25" customHeight="1">
      <c r="A42" s="63">
        <v>38</v>
      </c>
      <c r="B42" s="63">
        <v>15</v>
      </c>
      <c r="C42" s="62" t="s">
        <v>35</v>
      </c>
      <c r="D42" s="131" t="s">
        <v>170</v>
      </c>
      <c r="E42" s="66">
        <v>16244.202746448878</v>
      </c>
      <c r="F42" s="78" t="s">
        <v>91</v>
      </c>
      <c r="G42" s="68">
        <v>42696.92</v>
      </c>
      <c r="H42" s="72" t="s">
        <v>97</v>
      </c>
      <c r="I42" s="88" t="s">
        <v>171</v>
      </c>
      <c r="J42" s="132">
        <v>16244.202746448878</v>
      </c>
      <c r="K42" s="132">
        <v>42696.92</v>
      </c>
      <c r="L42" s="133">
        <v>2.6284404760543825</v>
      </c>
      <c r="M42" s="132">
        <v>16209</v>
      </c>
      <c r="N42" s="134">
        <v>0.99783290402130853</v>
      </c>
      <c r="O42" s="132">
        <v>35.202746448878315</v>
      </c>
      <c r="P42" s="133">
        <v>2.1670959786914711E-3</v>
      </c>
    </row>
    <row r="43" spans="1:16" ht="20.25" customHeight="1">
      <c r="A43" s="63">
        <v>39</v>
      </c>
      <c r="B43" s="63">
        <v>16</v>
      </c>
      <c r="C43" s="62" t="s">
        <v>35</v>
      </c>
      <c r="D43" s="131" t="s">
        <v>172</v>
      </c>
      <c r="E43" s="66">
        <v>174.52515702439661</v>
      </c>
      <c r="F43" s="77" t="s">
        <v>123</v>
      </c>
      <c r="G43" s="68"/>
      <c r="H43" s="72" t="s">
        <v>116</v>
      </c>
      <c r="I43" s="88" t="s">
        <v>173</v>
      </c>
      <c r="J43" s="132">
        <v>174.52515702439661</v>
      </c>
      <c r="K43" s="132"/>
      <c r="L43" s="133">
        <v>0</v>
      </c>
      <c r="M43" s="132"/>
      <c r="N43" s="134">
        <v>0</v>
      </c>
      <c r="O43" s="132">
        <v>174.52515702439661</v>
      </c>
      <c r="P43" s="133">
        <v>1</v>
      </c>
    </row>
    <row r="44" spans="1:16" ht="20.25" customHeight="1">
      <c r="A44" s="63">
        <v>40</v>
      </c>
      <c r="B44" s="63">
        <v>17</v>
      </c>
      <c r="C44" s="62" t="s">
        <v>35</v>
      </c>
      <c r="D44" s="131" t="s">
        <v>174</v>
      </c>
      <c r="E44" s="66">
        <v>11992.592601741591</v>
      </c>
      <c r="F44" s="78" t="s">
        <v>123</v>
      </c>
      <c r="G44" s="68"/>
      <c r="H44" s="72" t="s">
        <v>116</v>
      </c>
      <c r="I44" s="88" t="s">
        <v>175</v>
      </c>
      <c r="J44" s="132">
        <v>11992.592601741591</v>
      </c>
      <c r="K44" s="132"/>
      <c r="L44" s="133">
        <v>0</v>
      </c>
      <c r="M44" s="132"/>
      <c r="N44" s="134">
        <v>0</v>
      </c>
      <c r="O44" s="132">
        <v>11992.592601741591</v>
      </c>
      <c r="P44" s="133">
        <v>1</v>
      </c>
    </row>
    <row r="45" spans="1:16" ht="20.25" customHeight="1">
      <c r="A45" s="63">
        <v>41</v>
      </c>
      <c r="B45" s="63">
        <v>18</v>
      </c>
      <c r="C45" s="62" t="s">
        <v>35</v>
      </c>
      <c r="D45" s="131" t="s">
        <v>176</v>
      </c>
      <c r="E45" s="66">
        <v>19432.11538486222</v>
      </c>
      <c r="F45" s="77" t="s">
        <v>91</v>
      </c>
      <c r="G45" s="68">
        <v>22959.02</v>
      </c>
      <c r="H45" s="72" t="s">
        <v>97</v>
      </c>
      <c r="I45" s="88" t="s">
        <v>177</v>
      </c>
      <c r="J45" s="132">
        <v>19432.11538486222</v>
      </c>
      <c r="K45" s="132">
        <v>22959.02</v>
      </c>
      <c r="L45" s="133">
        <v>1.1814987480923085</v>
      </c>
      <c r="M45" s="132">
        <v>19034</v>
      </c>
      <c r="N45" s="134">
        <v>0.9795125040698166</v>
      </c>
      <c r="O45" s="132">
        <v>398.1153848622198</v>
      </c>
      <c r="P45" s="133">
        <v>2.0487495930183442E-2</v>
      </c>
    </row>
    <row r="46" spans="1:16" ht="20.25" customHeight="1">
      <c r="A46" s="63">
        <v>42</v>
      </c>
      <c r="B46" s="63">
        <v>19</v>
      </c>
      <c r="C46" s="62" t="s">
        <v>35</v>
      </c>
      <c r="D46" s="131" t="s">
        <v>178</v>
      </c>
      <c r="E46" s="66">
        <v>11581.041967391473</v>
      </c>
      <c r="F46" s="78" t="s">
        <v>91</v>
      </c>
      <c r="G46" s="68">
        <v>12790.44</v>
      </c>
      <c r="H46" s="72" t="s">
        <v>97</v>
      </c>
      <c r="I46" s="88" t="s">
        <v>179</v>
      </c>
      <c r="J46" s="132">
        <v>11581.041967391473</v>
      </c>
      <c r="K46" s="132">
        <v>12790.44</v>
      </c>
      <c r="L46" s="133">
        <v>1.1044291209732084</v>
      </c>
      <c r="M46" s="132">
        <v>10812</v>
      </c>
      <c r="N46" s="134">
        <v>0.93359475170223449</v>
      </c>
      <c r="O46" s="132">
        <v>769.04196739147301</v>
      </c>
      <c r="P46" s="133">
        <v>6.6405248297765465E-2</v>
      </c>
    </row>
    <row r="47" spans="1:16" ht="20.25" customHeight="1">
      <c r="A47" s="63">
        <v>43</v>
      </c>
      <c r="B47" s="63">
        <v>20</v>
      </c>
      <c r="C47" s="62" t="s">
        <v>35</v>
      </c>
      <c r="D47" s="131" t="s">
        <v>180</v>
      </c>
      <c r="E47" s="66">
        <v>5985.3309156194109</v>
      </c>
      <c r="F47" s="77" t="s">
        <v>104</v>
      </c>
      <c r="G47" s="68">
        <v>13842.02</v>
      </c>
      <c r="H47" s="72" t="s">
        <v>92</v>
      </c>
      <c r="I47" s="88" t="s">
        <v>181</v>
      </c>
      <c r="J47" s="132">
        <v>5985.3309156194109</v>
      </c>
      <c r="K47" s="132">
        <v>13842.02</v>
      </c>
      <c r="L47" s="133">
        <v>2.3126574278253611</v>
      </c>
      <c r="M47" s="132"/>
      <c r="N47" s="134">
        <v>0</v>
      </c>
      <c r="O47" s="132">
        <v>5985.3309156194109</v>
      </c>
      <c r="P47" s="133">
        <v>1</v>
      </c>
    </row>
    <row r="48" spans="1:16" ht="20.25" customHeight="1">
      <c r="A48" s="63">
        <v>44</v>
      </c>
      <c r="B48" s="63">
        <v>21</v>
      </c>
      <c r="C48" s="62" t="s">
        <v>35</v>
      </c>
      <c r="D48" s="131" t="s">
        <v>182</v>
      </c>
      <c r="E48" s="66">
        <v>1803.7806697198953</v>
      </c>
      <c r="F48" s="78" t="s">
        <v>123</v>
      </c>
      <c r="G48" s="68">
        <v>0</v>
      </c>
      <c r="H48" s="72" t="s">
        <v>126</v>
      </c>
      <c r="I48" s="88" t="s">
        <v>183</v>
      </c>
      <c r="J48" s="132">
        <v>1803.7806697198953</v>
      </c>
      <c r="K48" s="132">
        <v>0</v>
      </c>
      <c r="L48" s="133">
        <v>0</v>
      </c>
      <c r="M48" s="132"/>
      <c r="N48" s="134">
        <v>0</v>
      </c>
      <c r="O48" s="132">
        <v>1803.7806697198953</v>
      </c>
      <c r="P48" s="133">
        <v>1</v>
      </c>
    </row>
    <row r="49" spans="1:16" ht="20.25" customHeight="1">
      <c r="A49" s="63">
        <v>45</v>
      </c>
      <c r="B49" s="63">
        <v>22</v>
      </c>
      <c r="C49" s="62" t="s">
        <v>35</v>
      </c>
      <c r="D49" s="131" t="s">
        <v>184</v>
      </c>
      <c r="E49" s="66">
        <v>8619.8457677146998</v>
      </c>
      <c r="F49" s="77" t="s">
        <v>104</v>
      </c>
      <c r="G49" s="68">
        <v>14925</v>
      </c>
      <c r="H49" s="72" t="s">
        <v>116</v>
      </c>
      <c r="I49" s="88" t="s">
        <v>185</v>
      </c>
      <c r="J49" s="132">
        <v>8619.8457677146998</v>
      </c>
      <c r="K49" s="132">
        <v>14925</v>
      </c>
      <c r="L49" s="133">
        <v>1.7314694951852865</v>
      </c>
      <c r="M49" s="132"/>
      <c r="N49" s="134">
        <v>0</v>
      </c>
      <c r="O49" s="132">
        <v>8619.8457677146998</v>
      </c>
      <c r="P49" s="133">
        <v>1</v>
      </c>
    </row>
    <row r="50" spans="1:16" ht="20.25" customHeight="1">
      <c r="A50" s="63">
        <v>46</v>
      </c>
      <c r="B50" s="63">
        <v>23</v>
      </c>
      <c r="C50" s="62" t="s">
        <v>35</v>
      </c>
      <c r="D50" s="131" t="s">
        <v>186</v>
      </c>
      <c r="E50" s="66">
        <v>7172.868078957229</v>
      </c>
      <c r="F50" s="78" t="s">
        <v>123</v>
      </c>
      <c r="G50" s="68">
        <v>0</v>
      </c>
      <c r="H50" s="72" t="s">
        <v>126</v>
      </c>
      <c r="I50" s="88" t="s">
        <v>187</v>
      </c>
      <c r="J50" s="132">
        <v>7172.868078957229</v>
      </c>
      <c r="K50" s="132">
        <v>0</v>
      </c>
      <c r="L50" s="133">
        <v>0</v>
      </c>
      <c r="M50" s="132"/>
      <c r="N50" s="134">
        <v>0</v>
      </c>
      <c r="O50" s="132">
        <v>7172.868078957229</v>
      </c>
      <c r="P50" s="133">
        <v>1</v>
      </c>
    </row>
    <row r="51" spans="1:16" ht="20.25" customHeight="1">
      <c r="A51" s="63">
        <v>47</v>
      </c>
      <c r="B51" s="63">
        <v>24</v>
      </c>
      <c r="C51" s="62" t="s">
        <v>35</v>
      </c>
      <c r="D51" s="131" t="s">
        <v>188</v>
      </c>
      <c r="E51" s="66">
        <v>5732.0075520253959</v>
      </c>
      <c r="F51" s="77" t="s">
        <v>123</v>
      </c>
      <c r="G51" s="68"/>
      <c r="H51" s="72" t="s">
        <v>116</v>
      </c>
      <c r="I51" s="88" t="s">
        <v>189</v>
      </c>
      <c r="J51" s="132">
        <v>5732.0075520253959</v>
      </c>
      <c r="K51" s="132"/>
      <c r="L51" s="133">
        <v>0</v>
      </c>
      <c r="M51" s="132"/>
      <c r="N51" s="134">
        <v>0</v>
      </c>
      <c r="O51" s="132">
        <v>5732.0075520253959</v>
      </c>
      <c r="P51" s="133">
        <v>1</v>
      </c>
    </row>
    <row r="52" spans="1:16" ht="20.25" customHeight="1">
      <c r="A52" s="63">
        <v>48</v>
      </c>
      <c r="B52" s="63">
        <v>25</v>
      </c>
      <c r="C52" s="62" t="s">
        <v>35</v>
      </c>
      <c r="D52" s="131" t="s">
        <v>190</v>
      </c>
      <c r="E52" s="66">
        <v>6853.9901522076962</v>
      </c>
      <c r="F52" s="78" t="s">
        <v>123</v>
      </c>
      <c r="G52" s="68">
        <v>0</v>
      </c>
      <c r="H52" s="72" t="s">
        <v>126</v>
      </c>
      <c r="I52" s="88" t="s">
        <v>191</v>
      </c>
      <c r="J52" s="132">
        <v>6853.9901522076962</v>
      </c>
      <c r="K52" s="132">
        <v>0</v>
      </c>
      <c r="L52" s="133">
        <v>0</v>
      </c>
      <c r="M52" s="132"/>
      <c r="N52" s="134">
        <v>0</v>
      </c>
      <c r="O52" s="132">
        <v>6853.9901522076962</v>
      </c>
      <c r="P52" s="133">
        <v>1</v>
      </c>
    </row>
    <row r="53" spans="1:16" ht="20.25" customHeight="1">
      <c r="A53" s="63">
        <v>49</v>
      </c>
      <c r="B53" s="63">
        <v>26</v>
      </c>
      <c r="C53" s="62" t="s">
        <v>35</v>
      </c>
      <c r="D53" s="131" t="s">
        <v>192</v>
      </c>
      <c r="E53" s="66">
        <v>1121.316687374479</v>
      </c>
      <c r="F53" s="77" t="s">
        <v>104</v>
      </c>
      <c r="G53" s="68">
        <v>5093</v>
      </c>
      <c r="H53" s="72" t="s">
        <v>116</v>
      </c>
      <c r="I53" s="88" t="s">
        <v>193</v>
      </c>
      <c r="J53" s="132">
        <v>1121.316687374479</v>
      </c>
      <c r="K53" s="132">
        <v>5093</v>
      </c>
      <c r="L53" s="133">
        <v>4.5419818124040132</v>
      </c>
      <c r="M53" s="132"/>
      <c r="N53" s="134">
        <v>0</v>
      </c>
      <c r="O53" s="132">
        <v>1121.316687374479</v>
      </c>
      <c r="P53" s="133">
        <v>1</v>
      </c>
    </row>
    <row r="54" spans="1:16" ht="20.25" customHeight="1">
      <c r="A54" s="63">
        <v>50</v>
      </c>
      <c r="B54" s="63">
        <v>27</v>
      </c>
      <c r="C54" s="62" t="s">
        <v>35</v>
      </c>
      <c r="D54" s="131" t="s">
        <v>194</v>
      </c>
      <c r="E54" s="84">
        <v>7289.1745488215875</v>
      </c>
      <c r="F54" s="78" t="s">
        <v>91</v>
      </c>
      <c r="G54" s="68">
        <v>17558</v>
      </c>
      <c r="H54" s="72" t="s">
        <v>92</v>
      </c>
      <c r="I54" s="88" t="s">
        <v>195</v>
      </c>
      <c r="J54" s="132">
        <v>7289.1745488215875</v>
      </c>
      <c r="K54" s="132">
        <v>17558</v>
      </c>
      <c r="L54" s="133">
        <v>2.4087775484589726</v>
      </c>
      <c r="M54" s="132">
        <v>5940</v>
      </c>
      <c r="N54" s="134">
        <v>0.81490708724491945</v>
      </c>
      <c r="O54" s="132">
        <v>1349.1745488215875</v>
      </c>
      <c r="P54" s="133">
        <v>0.18509291275508052</v>
      </c>
    </row>
    <row r="55" spans="1:16" ht="20.25" customHeight="1">
      <c r="A55" s="63">
        <v>51</v>
      </c>
      <c r="B55" s="63">
        <v>28</v>
      </c>
      <c r="C55" s="62" t="s">
        <v>35</v>
      </c>
      <c r="D55" s="131" t="s">
        <v>196</v>
      </c>
      <c r="E55" s="66">
        <v>28024.873580235962</v>
      </c>
      <c r="F55" s="77" t="s">
        <v>91</v>
      </c>
      <c r="G55" s="68">
        <v>29048</v>
      </c>
      <c r="H55" s="72" t="s">
        <v>116</v>
      </c>
      <c r="I55" s="88" t="s">
        <v>149</v>
      </c>
      <c r="J55" s="132">
        <v>28024.873580235962</v>
      </c>
      <c r="K55" s="132">
        <v>29048</v>
      </c>
      <c r="L55" s="133">
        <v>1.036507797861596</v>
      </c>
      <c r="M55" s="132">
        <v>25547</v>
      </c>
      <c r="N55" s="134">
        <v>0.91158305948671836</v>
      </c>
      <c r="O55" s="132">
        <v>2477.8735802359624</v>
      </c>
      <c r="P55" s="133">
        <v>8.841694051328168E-2</v>
      </c>
    </row>
    <row r="56" spans="1:16" ht="20.25" customHeight="1">
      <c r="A56" s="63">
        <v>52</v>
      </c>
      <c r="B56" s="63">
        <v>29</v>
      </c>
      <c r="C56" s="62" t="s">
        <v>35</v>
      </c>
      <c r="D56" s="131" t="s">
        <v>197</v>
      </c>
      <c r="E56" s="66">
        <v>25342.688443598079</v>
      </c>
      <c r="F56" s="78" t="s">
        <v>123</v>
      </c>
      <c r="G56" s="68"/>
      <c r="H56" s="72" t="s">
        <v>116</v>
      </c>
      <c r="I56" s="88" t="s">
        <v>198</v>
      </c>
      <c r="J56" s="132">
        <v>25342.688443598079</v>
      </c>
      <c r="K56" s="132"/>
      <c r="L56" s="133">
        <v>0</v>
      </c>
      <c r="M56" s="132"/>
      <c r="N56" s="134">
        <v>0</v>
      </c>
      <c r="O56" s="132">
        <v>25342.688443598079</v>
      </c>
      <c r="P56" s="133">
        <v>1</v>
      </c>
    </row>
    <row r="57" spans="1:16" ht="20.25" customHeight="1">
      <c r="A57" s="63">
        <v>53</v>
      </c>
      <c r="B57" s="63">
        <v>30</v>
      </c>
      <c r="C57" s="62" t="s">
        <v>35</v>
      </c>
      <c r="D57" s="131" t="s">
        <v>199</v>
      </c>
      <c r="E57" s="66">
        <v>12377.260492368505</v>
      </c>
      <c r="F57" s="77" t="s">
        <v>123</v>
      </c>
      <c r="G57" s="68"/>
      <c r="H57" s="72" t="s">
        <v>116</v>
      </c>
      <c r="I57" s="88" t="s">
        <v>200</v>
      </c>
      <c r="J57" s="132">
        <v>12377.260492368505</v>
      </c>
      <c r="K57" s="132"/>
      <c r="L57" s="133">
        <v>0</v>
      </c>
      <c r="M57" s="132"/>
      <c r="N57" s="134">
        <v>0</v>
      </c>
      <c r="O57" s="132">
        <v>12377.260492368505</v>
      </c>
      <c r="P57" s="133">
        <v>1</v>
      </c>
    </row>
    <row r="58" spans="1:16" ht="20.25" customHeight="1">
      <c r="A58" s="63">
        <v>54</v>
      </c>
      <c r="B58" s="63">
        <v>31</v>
      </c>
      <c r="C58" s="62" t="s">
        <v>35</v>
      </c>
      <c r="D58" s="131" t="s">
        <v>201</v>
      </c>
      <c r="E58" s="66">
        <v>8533.2463356540557</v>
      </c>
      <c r="F58" s="78" t="s">
        <v>91</v>
      </c>
      <c r="G58" s="68">
        <v>10076</v>
      </c>
      <c r="H58" s="72" t="s">
        <v>97</v>
      </c>
      <c r="I58" s="88" t="s">
        <v>202</v>
      </c>
      <c r="J58" s="132">
        <v>8533.2463356540557</v>
      </c>
      <c r="K58" s="132">
        <v>10076</v>
      </c>
      <c r="L58" s="133">
        <v>1.1807932882354433</v>
      </c>
      <c r="M58" s="132">
        <v>8469</v>
      </c>
      <c r="N58" s="134">
        <v>0.99247105578264883</v>
      </c>
      <c r="O58" s="132">
        <v>64.246335654055656</v>
      </c>
      <c r="P58" s="133">
        <v>7.5289442173511693E-3</v>
      </c>
    </row>
    <row r="59" spans="1:16" ht="20.25" customHeight="1">
      <c r="A59" s="63">
        <v>55</v>
      </c>
      <c r="B59" s="63">
        <v>32</v>
      </c>
      <c r="C59" s="62" t="s">
        <v>35</v>
      </c>
      <c r="D59" s="131" t="s">
        <v>203</v>
      </c>
      <c r="E59" s="66">
        <v>20534.533927261415</v>
      </c>
      <c r="F59" s="77" t="s">
        <v>91</v>
      </c>
      <c r="G59" s="68">
        <v>20734.78</v>
      </c>
      <c r="H59" s="72" t="s">
        <v>97</v>
      </c>
      <c r="I59" s="88" t="s">
        <v>204</v>
      </c>
      <c r="J59" s="132">
        <v>20534.533927261415</v>
      </c>
      <c r="K59" s="132">
        <v>20734.78</v>
      </c>
      <c r="L59" s="133">
        <v>1.0097516736171324</v>
      </c>
      <c r="M59" s="135">
        <v>20253.3883748929</v>
      </c>
      <c r="N59" s="134">
        <v>0.98630864701558829</v>
      </c>
      <c r="O59" s="132">
        <v>281.14555236851447</v>
      </c>
      <c r="P59" s="133">
        <v>1.369135298441173E-2</v>
      </c>
    </row>
    <row r="60" spans="1:16" ht="20.25" customHeight="1">
      <c r="A60" s="63">
        <v>56</v>
      </c>
      <c r="B60" s="63">
        <v>33</v>
      </c>
      <c r="C60" s="62" t="s">
        <v>35</v>
      </c>
      <c r="D60" s="131" t="s">
        <v>205</v>
      </c>
      <c r="E60" s="66">
        <v>17083.588922450879</v>
      </c>
      <c r="F60" s="78" t="s">
        <v>91</v>
      </c>
      <c r="G60" s="68">
        <v>20105.599999999999</v>
      </c>
      <c r="H60" s="72" t="s">
        <v>97</v>
      </c>
      <c r="I60" s="88" t="s">
        <v>206</v>
      </c>
      <c r="J60" s="132">
        <v>17083.588922450879</v>
      </c>
      <c r="K60" s="132">
        <v>20105.599999999999</v>
      </c>
      <c r="L60" s="133">
        <v>1.1768955628274138</v>
      </c>
      <c r="M60" s="135"/>
      <c r="N60" s="134">
        <v>0</v>
      </c>
      <c r="O60" s="132">
        <v>17083.588922450879</v>
      </c>
      <c r="P60" s="133">
        <v>1</v>
      </c>
    </row>
    <row r="61" spans="1:16" ht="20.25" customHeight="1">
      <c r="A61" s="63">
        <v>57</v>
      </c>
      <c r="B61" s="63">
        <v>1</v>
      </c>
      <c r="C61" s="62" t="s">
        <v>36</v>
      </c>
      <c r="D61" s="131" t="s">
        <v>207</v>
      </c>
      <c r="E61" s="66">
        <v>23654.853048173587</v>
      </c>
      <c r="F61" s="77" t="s">
        <v>91</v>
      </c>
      <c r="G61" s="68">
        <v>18402</v>
      </c>
      <c r="H61" s="72" t="s">
        <v>97</v>
      </c>
      <c r="I61" s="88" t="s">
        <v>208</v>
      </c>
      <c r="J61" s="132">
        <v>23654.853048173587</v>
      </c>
      <c r="K61" s="132">
        <v>18402</v>
      </c>
      <c r="L61" s="133">
        <v>0.77793761654422267</v>
      </c>
      <c r="M61" s="132">
        <v>14835</v>
      </c>
      <c r="N61" s="134">
        <v>0.62714403550883291</v>
      </c>
      <c r="O61" s="132">
        <v>8819.853048173587</v>
      </c>
      <c r="P61" s="133">
        <v>0.37285596449116709</v>
      </c>
    </row>
    <row r="62" spans="1:16" ht="20.25" customHeight="1">
      <c r="A62" s="63">
        <v>58</v>
      </c>
      <c r="B62" s="63">
        <v>2</v>
      </c>
      <c r="C62" s="62" t="s">
        <v>36</v>
      </c>
      <c r="D62" s="131" t="s">
        <v>209</v>
      </c>
      <c r="E62" s="66">
        <v>4941.7531862958376</v>
      </c>
      <c r="F62" s="78" t="s">
        <v>91</v>
      </c>
      <c r="G62" s="68">
        <v>4603.38</v>
      </c>
      <c r="H62" s="72" t="s">
        <v>126</v>
      </c>
      <c r="I62" s="88" t="s">
        <v>210</v>
      </c>
      <c r="J62" s="132">
        <v>4941.7531862958376</v>
      </c>
      <c r="K62" s="132">
        <v>4603.38</v>
      </c>
      <c r="L62" s="133">
        <v>0.93152770412852814</v>
      </c>
      <c r="M62" s="132">
        <v>3386</v>
      </c>
      <c r="N62" s="134">
        <v>0.68518193287957896</v>
      </c>
      <c r="O62" s="132">
        <v>1555.7531862958376</v>
      </c>
      <c r="P62" s="133">
        <v>0.31481806712042104</v>
      </c>
    </row>
    <row r="63" spans="1:16" ht="20.25" customHeight="1">
      <c r="A63" s="63">
        <v>59</v>
      </c>
      <c r="B63" s="63">
        <v>3</v>
      </c>
      <c r="C63" s="62" t="s">
        <v>36</v>
      </c>
      <c r="D63" s="131" t="s">
        <v>211</v>
      </c>
      <c r="E63" s="66">
        <v>895.03558117484135</v>
      </c>
      <c r="F63" s="77" t="s">
        <v>123</v>
      </c>
      <c r="G63" s="68"/>
      <c r="H63" s="72" t="s">
        <v>116</v>
      </c>
      <c r="I63" s="88" t="s">
        <v>212</v>
      </c>
      <c r="J63" s="132">
        <v>895.03558117484135</v>
      </c>
      <c r="K63" s="132"/>
      <c r="L63" s="133">
        <v>0</v>
      </c>
      <c r="M63" s="132"/>
      <c r="N63" s="134">
        <v>0</v>
      </c>
      <c r="O63" s="132">
        <v>895.03558117484135</v>
      </c>
      <c r="P63" s="133">
        <v>1</v>
      </c>
    </row>
    <row r="64" spans="1:16" ht="20.25" customHeight="1">
      <c r="A64" s="63">
        <v>60</v>
      </c>
      <c r="B64" s="63">
        <v>4</v>
      </c>
      <c r="C64" s="62" t="s">
        <v>36</v>
      </c>
      <c r="D64" s="131" t="s">
        <v>213</v>
      </c>
      <c r="E64" s="66">
        <v>383.5095647347153</v>
      </c>
      <c r="F64" s="78" t="s">
        <v>123</v>
      </c>
      <c r="G64" s="68"/>
      <c r="H64" s="72" t="s">
        <v>116</v>
      </c>
      <c r="I64" s="88" t="s">
        <v>214</v>
      </c>
      <c r="J64" s="132">
        <v>383.5095647347153</v>
      </c>
      <c r="K64" s="132"/>
      <c r="L64" s="133">
        <v>0</v>
      </c>
      <c r="M64" s="132"/>
      <c r="N64" s="134">
        <v>0</v>
      </c>
      <c r="O64" s="132">
        <v>383.5095647347153</v>
      </c>
      <c r="P64" s="133">
        <v>1</v>
      </c>
    </row>
    <row r="65" spans="1:16" ht="20.25" customHeight="1">
      <c r="A65" s="63">
        <v>61</v>
      </c>
      <c r="B65" s="63">
        <v>5</v>
      </c>
      <c r="C65" s="62" t="s">
        <v>36</v>
      </c>
      <c r="D65" s="131" t="s">
        <v>215</v>
      </c>
      <c r="E65" s="66">
        <v>5841.6257267284327</v>
      </c>
      <c r="F65" s="77" t="s">
        <v>104</v>
      </c>
      <c r="G65" s="68">
        <v>2817.86</v>
      </c>
      <c r="H65" s="72" t="s">
        <v>116</v>
      </c>
      <c r="I65" s="88" t="s">
        <v>216</v>
      </c>
      <c r="J65" s="132">
        <v>5841.6257267284327</v>
      </c>
      <c r="K65" s="132">
        <v>2817.86</v>
      </c>
      <c r="L65" s="133">
        <v>0.48237599117431401</v>
      </c>
      <c r="M65" s="132"/>
      <c r="N65" s="134">
        <v>0</v>
      </c>
      <c r="O65" s="132">
        <v>5841.6257267284327</v>
      </c>
      <c r="P65" s="133">
        <v>1</v>
      </c>
    </row>
    <row r="66" spans="1:16" ht="20.25" customHeight="1">
      <c r="A66" s="63">
        <v>62</v>
      </c>
      <c r="B66" s="63">
        <v>6</v>
      </c>
      <c r="C66" s="62" t="s">
        <v>36</v>
      </c>
      <c r="D66" s="131" t="s">
        <v>217</v>
      </c>
      <c r="E66" s="66">
        <v>552.30450255674111</v>
      </c>
      <c r="F66" s="78" t="s">
        <v>91</v>
      </c>
      <c r="G66" s="68">
        <v>147.05000000000001</v>
      </c>
      <c r="H66" s="72" t="s">
        <v>126</v>
      </c>
      <c r="I66" s="88" t="s">
        <v>218</v>
      </c>
      <c r="J66" s="132">
        <v>552.30450255674111</v>
      </c>
      <c r="K66" s="132">
        <v>147.05000000000001</v>
      </c>
      <c r="L66" s="133">
        <v>0.26624805577226451</v>
      </c>
      <c r="M66" s="132">
        <v>142</v>
      </c>
      <c r="N66" s="134">
        <v>0.2571045489266342</v>
      </c>
      <c r="O66" s="132">
        <v>410.30450255674111</v>
      </c>
      <c r="P66" s="133">
        <v>0.74289545107336585</v>
      </c>
    </row>
    <row r="67" spans="1:16" ht="20.25" customHeight="1">
      <c r="A67" s="63">
        <v>63</v>
      </c>
      <c r="B67" s="63">
        <v>7</v>
      </c>
      <c r="C67" s="62" t="s">
        <v>36</v>
      </c>
      <c r="D67" s="131" t="s">
        <v>219</v>
      </c>
      <c r="E67" s="66">
        <v>2996.3822376647713</v>
      </c>
      <c r="F67" s="77" t="s">
        <v>104</v>
      </c>
      <c r="G67" s="68">
        <v>1601</v>
      </c>
      <c r="H67" s="72" t="s">
        <v>116</v>
      </c>
      <c r="I67" s="88" t="s">
        <v>220</v>
      </c>
      <c r="J67" s="132">
        <v>2996.3822376647713</v>
      </c>
      <c r="K67" s="132">
        <v>1601</v>
      </c>
      <c r="L67" s="133">
        <v>0.53431100340780902</v>
      </c>
      <c r="M67" s="132"/>
      <c r="N67" s="134">
        <v>0</v>
      </c>
      <c r="O67" s="132">
        <v>2996.3822376647713</v>
      </c>
      <c r="P67" s="133">
        <v>1</v>
      </c>
    </row>
    <row r="68" spans="1:16" ht="20.25" customHeight="1">
      <c r="A68" s="63">
        <v>64</v>
      </c>
      <c r="B68" s="63">
        <v>8</v>
      </c>
      <c r="C68" s="62" t="s">
        <v>36</v>
      </c>
      <c r="D68" s="131" t="s">
        <v>221</v>
      </c>
      <c r="E68" s="66">
        <v>2803.2111179015492</v>
      </c>
      <c r="F68" s="78" t="s">
        <v>91</v>
      </c>
      <c r="G68" s="68">
        <v>1745</v>
      </c>
      <c r="H68" s="72" t="s">
        <v>116</v>
      </c>
      <c r="I68" s="88" t="s">
        <v>155</v>
      </c>
      <c r="J68" s="132">
        <v>2803.2111179015492</v>
      </c>
      <c r="K68" s="132">
        <v>1745</v>
      </c>
      <c r="L68" s="133">
        <v>0.62250038495362647</v>
      </c>
      <c r="M68" s="132">
        <v>1544</v>
      </c>
      <c r="N68" s="134">
        <v>0.55079690221684774</v>
      </c>
      <c r="O68" s="132">
        <v>1259.2111179015492</v>
      </c>
      <c r="P68" s="133">
        <v>0.44920309778315226</v>
      </c>
    </row>
    <row r="69" spans="1:16" ht="20.25" customHeight="1">
      <c r="A69" s="63">
        <v>65</v>
      </c>
      <c r="B69" s="63">
        <v>9</v>
      </c>
      <c r="C69" s="62" t="s">
        <v>36</v>
      </c>
      <c r="D69" s="131" t="s">
        <v>222</v>
      </c>
      <c r="E69" s="66">
        <v>1327.4064315333644</v>
      </c>
      <c r="F69" s="77" t="s">
        <v>123</v>
      </c>
      <c r="G69" s="68"/>
      <c r="H69" s="72" t="s">
        <v>116</v>
      </c>
      <c r="I69" s="88" t="s">
        <v>223</v>
      </c>
      <c r="J69" s="132">
        <v>1327.4064315333644</v>
      </c>
      <c r="K69" s="132"/>
      <c r="L69" s="133">
        <v>0</v>
      </c>
      <c r="M69" s="132"/>
      <c r="N69" s="134">
        <v>0</v>
      </c>
      <c r="O69" s="132">
        <v>1327.4064315333644</v>
      </c>
      <c r="P69" s="133">
        <v>1</v>
      </c>
    </row>
    <row r="70" spans="1:16" ht="20.25" customHeight="1">
      <c r="A70" s="63">
        <v>66</v>
      </c>
      <c r="B70" s="63">
        <v>10</v>
      </c>
      <c r="C70" s="62" t="s">
        <v>36</v>
      </c>
      <c r="D70" s="131" t="s">
        <v>224</v>
      </c>
      <c r="E70" s="66">
        <v>1143.1113912762846</v>
      </c>
      <c r="F70" s="78" t="s">
        <v>104</v>
      </c>
      <c r="G70" s="68">
        <v>611</v>
      </c>
      <c r="H70" s="72" t="s">
        <v>116</v>
      </c>
      <c r="I70" s="88" t="s">
        <v>225</v>
      </c>
      <c r="J70" s="132">
        <v>1143.1113912762846</v>
      </c>
      <c r="K70" s="132">
        <v>611</v>
      </c>
      <c r="L70" s="133">
        <v>0.53450608983768244</v>
      </c>
      <c r="M70" s="132"/>
      <c r="N70" s="134">
        <v>0</v>
      </c>
      <c r="O70" s="132">
        <v>1143.1113912762846</v>
      </c>
      <c r="P70" s="133">
        <v>1</v>
      </c>
    </row>
    <row r="71" spans="1:16" ht="20.25" customHeight="1">
      <c r="A71" s="63">
        <v>67</v>
      </c>
      <c r="B71" s="63">
        <v>11</v>
      </c>
      <c r="C71" s="62" t="s">
        <v>36</v>
      </c>
      <c r="D71" s="131" t="s">
        <v>226</v>
      </c>
      <c r="E71" s="66">
        <v>19426.492025371288</v>
      </c>
      <c r="F71" s="77" t="s">
        <v>104</v>
      </c>
      <c r="G71" s="68">
        <v>18259</v>
      </c>
      <c r="H71" s="72" t="s">
        <v>116</v>
      </c>
      <c r="I71" s="88" t="s">
        <v>227</v>
      </c>
      <c r="J71" s="132">
        <v>19426.492025371288</v>
      </c>
      <c r="K71" s="132">
        <v>18259</v>
      </c>
      <c r="L71" s="133">
        <v>0.93990206652613728</v>
      </c>
      <c r="M71" s="132"/>
      <c r="N71" s="134">
        <v>0</v>
      </c>
      <c r="O71" s="132">
        <v>19426.492025371288</v>
      </c>
      <c r="P71" s="133">
        <v>1</v>
      </c>
    </row>
    <row r="72" spans="1:16" ht="20.25" customHeight="1">
      <c r="A72" s="63">
        <v>68</v>
      </c>
      <c r="B72" s="63">
        <v>12</v>
      </c>
      <c r="C72" s="62" t="s">
        <v>36</v>
      </c>
      <c r="D72" s="131" t="s">
        <v>228</v>
      </c>
      <c r="E72" s="66">
        <v>18365.530221913777</v>
      </c>
      <c r="F72" s="78" t="s">
        <v>91</v>
      </c>
      <c r="G72" s="68">
        <v>22735</v>
      </c>
      <c r="H72" s="72" t="s">
        <v>116</v>
      </c>
      <c r="I72" s="88" t="s">
        <v>155</v>
      </c>
      <c r="J72" s="132">
        <v>18365.530221913777</v>
      </c>
      <c r="K72" s="132">
        <v>22735</v>
      </c>
      <c r="L72" s="133">
        <v>1.2379168869773531</v>
      </c>
      <c r="M72" s="132">
        <v>13503</v>
      </c>
      <c r="N72" s="134">
        <v>0.73523605563471295</v>
      </c>
      <c r="O72" s="132">
        <v>4862.5302219137775</v>
      </c>
      <c r="P72" s="133">
        <v>0.26476394436528705</v>
      </c>
    </row>
    <row r="73" spans="1:16" ht="20.25" customHeight="1">
      <c r="A73" s="63">
        <v>69</v>
      </c>
      <c r="B73" s="63">
        <v>13</v>
      </c>
      <c r="C73" s="62" t="s">
        <v>36</v>
      </c>
      <c r="D73" s="131" t="s">
        <v>229</v>
      </c>
      <c r="E73" s="66">
        <v>17751.540424370301</v>
      </c>
      <c r="F73" s="77" t="s">
        <v>91</v>
      </c>
      <c r="G73" s="68">
        <v>34693.851999999999</v>
      </c>
      <c r="H73" s="72" t="s">
        <v>97</v>
      </c>
      <c r="I73" s="88" t="s">
        <v>230</v>
      </c>
      <c r="J73" s="132">
        <v>17751.540424370301</v>
      </c>
      <c r="K73" s="132">
        <v>34693.851999999999</v>
      </c>
      <c r="L73" s="133">
        <v>1.9544135985162363</v>
      </c>
      <c r="M73" s="132">
        <v>16571.154826000002</v>
      </c>
      <c r="N73" s="134">
        <v>0.93350517362708418</v>
      </c>
      <c r="O73" s="132">
        <v>1180.3855983702997</v>
      </c>
      <c r="P73" s="133">
        <v>6.649482637291583E-2</v>
      </c>
    </row>
    <row r="74" spans="1:16" ht="20.25" customHeight="1">
      <c r="A74" s="63">
        <v>70</v>
      </c>
      <c r="B74" s="63">
        <v>14</v>
      </c>
      <c r="C74" s="62" t="s">
        <v>36</v>
      </c>
      <c r="D74" s="131" t="s">
        <v>231</v>
      </c>
      <c r="E74" s="66">
        <v>8872.9282717311053</v>
      </c>
      <c r="F74" s="78" t="s">
        <v>91</v>
      </c>
      <c r="G74" s="68">
        <v>18780</v>
      </c>
      <c r="H74" s="72" t="s">
        <v>97</v>
      </c>
      <c r="I74" s="88" t="s">
        <v>232</v>
      </c>
      <c r="J74" s="132">
        <v>8872.9282717311053</v>
      </c>
      <c r="K74" s="132">
        <v>18780</v>
      </c>
      <c r="L74" s="133">
        <v>2.1165504132195614</v>
      </c>
      <c r="M74" s="132">
        <v>7828.9168040000004</v>
      </c>
      <c r="N74" s="134">
        <v>0.88233743858188329</v>
      </c>
      <c r="O74" s="132">
        <v>1044.0114677311049</v>
      </c>
      <c r="P74" s="133">
        <v>0.11766256141811665</v>
      </c>
    </row>
    <row r="75" spans="1:16" ht="20.25" customHeight="1">
      <c r="A75" s="63">
        <v>71</v>
      </c>
      <c r="B75" s="63">
        <v>15</v>
      </c>
      <c r="C75" s="62" t="s">
        <v>36</v>
      </c>
      <c r="D75" s="131" t="s">
        <v>233</v>
      </c>
      <c r="E75" s="66">
        <v>23885.105385055442</v>
      </c>
      <c r="F75" s="77" t="s">
        <v>91</v>
      </c>
      <c r="G75" s="68">
        <v>22746.1</v>
      </c>
      <c r="H75" s="72" t="s">
        <v>126</v>
      </c>
      <c r="I75" s="88" t="s">
        <v>234</v>
      </c>
      <c r="J75" s="132">
        <v>23885.105385055442</v>
      </c>
      <c r="K75" s="132">
        <v>22746.1</v>
      </c>
      <c r="L75" s="133">
        <v>0.95231315220538648</v>
      </c>
      <c r="M75" s="132">
        <v>19212</v>
      </c>
      <c r="N75" s="134">
        <v>0.80435064825046432</v>
      </c>
      <c r="O75" s="132">
        <v>4673.1053850554417</v>
      </c>
      <c r="P75" s="133">
        <v>0.19564935174953571</v>
      </c>
    </row>
    <row r="76" spans="1:16" ht="20.25" customHeight="1">
      <c r="A76" s="63">
        <v>72</v>
      </c>
      <c r="B76" s="63">
        <v>16</v>
      </c>
      <c r="C76" s="62" t="s">
        <v>36</v>
      </c>
      <c r="D76" s="131" t="s">
        <v>235</v>
      </c>
      <c r="E76" s="66">
        <v>10867.287466268239</v>
      </c>
      <c r="F76" s="78" t="s">
        <v>91</v>
      </c>
      <c r="G76" s="68">
        <v>20197.28</v>
      </c>
      <c r="H76" s="72" t="s">
        <v>97</v>
      </c>
      <c r="I76" s="88" t="s">
        <v>236</v>
      </c>
      <c r="J76" s="132">
        <v>10867.287466268239</v>
      </c>
      <c r="K76" s="132">
        <v>20197.28</v>
      </c>
      <c r="L76" s="133">
        <v>1.8585392226617543</v>
      </c>
      <c r="M76" s="132">
        <v>9488</v>
      </c>
      <c r="N76" s="134">
        <v>0.87307895640475974</v>
      </c>
      <c r="O76" s="132">
        <v>1379.2874662682389</v>
      </c>
      <c r="P76" s="133">
        <v>0.12692104359524023</v>
      </c>
    </row>
    <row r="77" spans="1:16" ht="20.25" customHeight="1">
      <c r="A77" s="63">
        <v>73</v>
      </c>
      <c r="B77" s="63">
        <v>17</v>
      </c>
      <c r="C77" s="62" t="s">
        <v>36</v>
      </c>
      <c r="D77" s="131" t="s">
        <v>237</v>
      </c>
      <c r="E77" s="66">
        <v>20561.479368018274</v>
      </c>
      <c r="F77" s="77" t="s">
        <v>91</v>
      </c>
      <c r="G77" s="68">
        <v>19524.55</v>
      </c>
      <c r="H77" s="72" t="s">
        <v>92</v>
      </c>
      <c r="I77" s="88" t="s">
        <v>238</v>
      </c>
      <c r="J77" s="132">
        <v>20561.479368018274</v>
      </c>
      <c r="K77" s="132">
        <v>19524.55</v>
      </c>
      <c r="L77" s="133">
        <v>0.94956932089083368</v>
      </c>
      <c r="M77" s="132">
        <v>15831</v>
      </c>
      <c r="N77" s="134">
        <v>0.76993487271270211</v>
      </c>
      <c r="O77" s="132">
        <v>4730.4793680182738</v>
      </c>
      <c r="P77" s="133">
        <v>0.23006512728729792</v>
      </c>
    </row>
    <row r="78" spans="1:16" ht="20.25" customHeight="1">
      <c r="A78" s="63">
        <v>74</v>
      </c>
      <c r="B78" s="63">
        <v>18</v>
      </c>
      <c r="C78" s="62" t="s">
        <v>36</v>
      </c>
      <c r="D78" s="131" t="s">
        <v>239</v>
      </c>
      <c r="E78" s="66">
        <v>8102.8563347897043</v>
      </c>
      <c r="F78" s="78" t="s">
        <v>104</v>
      </c>
      <c r="G78" s="68">
        <v>9570</v>
      </c>
      <c r="H78" s="72" t="s">
        <v>116</v>
      </c>
      <c r="I78" s="88" t="s">
        <v>223</v>
      </c>
      <c r="J78" s="132">
        <v>8102.8563347897043</v>
      </c>
      <c r="K78" s="132">
        <v>9570</v>
      </c>
      <c r="L78" s="133">
        <v>1.1810649978960008</v>
      </c>
      <c r="M78" s="132"/>
      <c r="N78" s="134">
        <v>0</v>
      </c>
      <c r="O78" s="132">
        <v>8102.8563347897043</v>
      </c>
      <c r="P78" s="133">
        <v>1</v>
      </c>
    </row>
    <row r="79" spans="1:16" ht="20.25" customHeight="1">
      <c r="A79" s="63">
        <v>75</v>
      </c>
      <c r="B79" s="63">
        <v>19</v>
      </c>
      <c r="C79" s="62" t="s">
        <v>36</v>
      </c>
      <c r="D79" s="131" t="s">
        <v>240</v>
      </c>
      <c r="E79" s="66">
        <v>21909.374729297306</v>
      </c>
      <c r="F79" s="77" t="s">
        <v>104</v>
      </c>
      <c r="G79" s="68">
        <v>22742</v>
      </c>
      <c r="H79" s="72" t="s">
        <v>116</v>
      </c>
      <c r="I79" s="88" t="s">
        <v>220</v>
      </c>
      <c r="J79" s="132">
        <v>21909.374729297306</v>
      </c>
      <c r="K79" s="132">
        <v>22742</v>
      </c>
      <c r="L79" s="133">
        <v>1.0380031507512308</v>
      </c>
      <c r="M79" s="132"/>
      <c r="N79" s="134">
        <v>0</v>
      </c>
      <c r="O79" s="132">
        <v>21909.374729297306</v>
      </c>
      <c r="P79" s="133">
        <v>1</v>
      </c>
    </row>
    <row r="80" spans="1:16" ht="20.25" customHeight="1">
      <c r="A80" s="63">
        <v>76</v>
      </c>
      <c r="B80" s="63">
        <v>1</v>
      </c>
      <c r="C80" s="64" t="s">
        <v>37</v>
      </c>
      <c r="D80" s="131" t="s">
        <v>241</v>
      </c>
      <c r="E80" s="84">
        <v>2992.418267408932</v>
      </c>
      <c r="F80" s="78" t="s">
        <v>104</v>
      </c>
      <c r="G80" s="68">
        <v>2040</v>
      </c>
      <c r="H80" s="72" t="s">
        <v>116</v>
      </c>
      <c r="I80" s="88" t="s">
        <v>159</v>
      </c>
      <c r="J80" s="132">
        <v>2992.418267408932</v>
      </c>
      <c r="K80" s="132">
        <v>2040</v>
      </c>
      <c r="L80" s="133">
        <v>0.68172288019294525</v>
      </c>
      <c r="M80" s="132"/>
      <c r="N80" s="134">
        <v>0</v>
      </c>
      <c r="O80" s="132">
        <v>2992.418267408932</v>
      </c>
      <c r="P80" s="133">
        <v>1</v>
      </c>
    </row>
    <row r="81" spans="1:16" ht="20.25" customHeight="1">
      <c r="A81" s="63">
        <v>77</v>
      </c>
      <c r="B81" s="63">
        <v>2</v>
      </c>
      <c r="C81" s="64" t="s">
        <v>37</v>
      </c>
      <c r="D81" s="131" t="s">
        <v>242</v>
      </c>
      <c r="E81" s="84">
        <v>19020.549055126812</v>
      </c>
      <c r="F81" s="77" t="s">
        <v>104</v>
      </c>
      <c r="G81" s="68">
        <v>13630</v>
      </c>
      <c r="H81" s="72" t="s">
        <v>126</v>
      </c>
      <c r="I81" s="88" t="s">
        <v>243</v>
      </c>
      <c r="J81" s="132">
        <v>19020.549055126812</v>
      </c>
      <c r="K81" s="132">
        <v>13630</v>
      </c>
      <c r="L81" s="133">
        <v>0.71659340434897489</v>
      </c>
      <c r="M81" s="132"/>
      <c r="N81" s="134">
        <v>0</v>
      </c>
      <c r="O81" s="132">
        <v>19020.549055126812</v>
      </c>
      <c r="P81" s="133">
        <v>1</v>
      </c>
    </row>
    <row r="82" spans="1:16" ht="20.25" customHeight="1">
      <c r="A82" s="63">
        <v>78</v>
      </c>
      <c r="B82" s="63">
        <v>3</v>
      </c>
      <c r="C82" s="64" t="s">
        <v>37</v>
      </c>
      <c r="D82" s="131" t="s">
        <v>244</v>
      </c>
      <c r="E82" s="66">
        <v>2667.2948232347826</v>
      </c>
      <c r="F82" s="78" t="s">
        <v>104</v>
      </c>
      <c r="G82" s="68">
        <v>1602</v>
      </c>
      <c r="H82" s="72" t="s">
        <v>116</v>
      </c>
      <c r="I82" s="88" t="s">
        <v>183</v>
      </c>
      <c r="J82" s="132">
        <v>2667.2948232347826</v>
      </c>
      <c r="K82" s="132">
        <v>1602</v>
      </c>
      <c r="L82" s="133">
        <v>0.60060852142964904</v>
      </c>
      <c r="M82" s="132"/>
      <c r="N82" s="134">
        <v>0</v>
      </c>
      <c r="O82" s="132">
        <v>2667.2948232347826</v>
      </c>
      <c r="P82" s="133">
        <v>1</v>
      </c>
    </row>
    <row r="83" spans="1:16" ht="20.25" customHeight="1">
      <c r="A83" s="63">
        <v>79</v>
      </c>
      <c r="B83" s="63">
        <v>4</v>
      </c>
      <c r="C83" s="64" t="s">
        <v>37</v>
      </c>
      <c r="D83" s="131" t="s">
        <v>245</v>
      </c>
      <c r="E83" s="66">
        <v>3220.4184385371937</v>
      </c>
      <c r="F83" s="77" t="s">
        <v>91</v>
      </c>
      <c r="G83" s="68">
        <v>6302</v>
      </c>
      <c r="H83" s="72" t="s">
        <v>116</v>
      </c>
      <c r="I83" s="88" t="s">
        <v>246</v>
      </c>
      <c r="J83" s="132">
        <v>3220.4184385371937</v>
      </c>
      <c r="K83" s="132">
        <v>6302</v>
      </c>
      <c r="L83" s="133">
        <v>1.9568885597557779</v>
      </c>
      <c r="M83" s="132">
        <v>3022.68</v>
      </c>
      <c r="N83" s="134">
        <v>0.93859852615084016</v>
      </c>
      <c r="O83" s="132">
        <v>197.73843853719382</v>
      </c>
      <c r="P83" s="133">
        <v>6.1401473849159886E-2</v>
      </c>
    </row>
    <row r="84" spans="1:16" ht="21" customHeight="1">
      <c r="A84" s="63">
        <v>80</v>
      </c>
      <c r="B84" s="63">
        <v>5</v>
      </c>
      <c r="C84" s="64" t="s">
        <v>37</v>
      </c>
      <c r="D84" s="131" t="s">
        <v>247</v>
      </c>
      <c r="E84" s="66">
        <v>3436.2346712048179</v>
      </c>
      <c r="F84" s="78" t="s">
        <v>91</v>
      </c>
      <c r="G84" s="68">
        <v>3709</v>
      </c>
      <c r="H84" s="72" t="s">
        <v>116</v>
      </c>
      <c r="I84" s="88" t="s">
        <v>248</v>
      </c>
      <c r="J84" s="132">
        <v>3436.2346712048179</v>
      </c>
      <c r="K84" s="132">
        <v>3709</v>
      </c>
      <c r="L84" s="133">
        <v>1.0793791329448243</v>
      </c>
      <c r="M84" s="132">
        <v>3096</v>
      </c>
      <c r="N84" s="134">
        <v>0.90098619455302675</v>
      </c>
      <c r="O84" s="132">
        <v>340.23467120481791</v>
      </c>
      <c r="P84" s="133">
        <v>9.9013805446973246E-2</v>
      </c>
    </row>
    <row r="85" spans="1:16" ht="20.25" customHeight="1">
      <c r="A85" s="63">
        <v>81</v>
      </c>
      <c r="B85" s="63">
        <v>6</v>
      </c>
      <c r="C85" s="64" t="s">
        <v>37</v>
      </c>
      <c r="D85" s="131" t="s">
        <v>249</v>
      </c>
      <c r="E85" s="66">
        <v>217.36462130400599</v>
      </c>
      <c r="F85" s="77" t="s">
        <v>91</v>
      </c>
      <c r="G85" s="68">
        <v>155</v>
      </c>
      <c r="H85" s="72" t="s">
        <v>116</v>
      </c>
      <c r="I85" s="88" t="s">
        <v>250</v>
      </c>
      <c r="J85" s="132">
        <v>217.36462130400599</v>
      </c>
      <c r="K85" s="132">
        <v>155</v>
      </c>
      <c r="L85" s="133">
        <v>0.71308752579021184</v>
      </c>
      <c r="M85" s="132">
        <v>146</v>
      </c>
      <c r="N85" s="134">
        <v>0.67168244364755436</v>
      </c>
      <c r="O85" s="132">
        <v>71.364621304005993</v>
      </c>
      <c r="P85" s="133">
        <v>0.32831755635244564</v>
      </c>
    </row>
    <row r="86" spans="1:16" ht="20.25" customHeight="1">
      <c r="A86" s="63">
        <v>82</v>
      </c>
      <c r="B86" s="63">
        <v>7</v>
      </c>
      <c r="C86" s="64" t="s">
        <v>37</v>
      </c>
      <c r="D86" s="131" t="s">
        <v>251</v>
      </c>
      <c r="E86" s="66">
        <v>3.2713721111999998</v>
      </c>
      <c r="F86" s="78" t="s">
        <v>123</v>
      </c>
      <c r="G86" s="68"/>
      <c r="H86" s="72" t="s">
        <v>116</v>
      </c>
      <c r="I86" s="88" t="s">
        <v>252</v>
      </c>
      <c r="J86" s="132">
        <v>3.2713721111999998</v>
      </c>
      <c r="K86" s="132"/>
      <c r="L86" s="133">
        <v>0</v>
      </c>
      <c r="M86" s="132"/>
      <c r="N86" s="134">
        <v>0</v>
      </c>
      <c r="O86" s="132">
        <v>3.2713721111999998</v>
      </c>
      <c r="P86" s="133">
        <v>1</v>
      </c>
    </row>
    <row r="87" spans="1:16" ht="20.25" customHeight="1">
      <c r="A87" s="63">
        <v>83</v>
      </c>
      <c r="B87" s="63">
        <v>8</v>
      </c>
      <c r="C87" s="64" t="s">
        <v>37</v>
      </c>
      <c r="D87" s="131" t="s">
        <v>253</v>
      </c>
      <c r="E87" s="66">
        <v>6212.5789780315899</v>
      </c>
      <c r="F87" s="77" t="s">
        <v>123</v>
      </c>
      <c r="G87" s="68"/>
      <c r="H87" s="72" t="s">
        <v>116</v>
      </c>
      <c r="I87" s="88" t="s">
        <v>254</v>
      </c>
      <c r="J87" s="132">
        <v>6212.5789780315899</v>
      </c>
      <c r="K87" s="132"/>
      <c r="L87" s="133">
        <v>0</v>
      </c>
      <c r="M87" s="132"/>
      <c r="N87" s="134">
        <v>0</v>
      </c>
      <c r="O87" s="132">
        <v>6212.5789780315899</v>
      </c>
      <c r="P87" s="133">
        <v>1</v>
      </c>
    </row>
    <row r="88" spans="1:16" ht="20.25" customHeight="1">
      <c r="A88" s="63">
        <v>84</v>
      </c>
      <c r="B88" s="63">
        <v>9</v>
      </c>
      <c r="C88" s="64" t="s">
        <v>37</v>
      </c>
      <c r="D88" s="131" t="s">
        <v>255</v>
      </c>
      <c r="E88" s="66">
        <v>6718.2441787090147</v>
      </c>
      <c r="F88" s="78" t="s">
        <v>91</v>
      </c>
      <c r="G88" s="68">
        <v>7463</v>
      </c>
      <c r="H88" s="72" t="s">
        <v>116</v>
      </c>
      <c r="I88" s="88" t="s">
        <v>256</v>
      </c>
      <c r="J88" s="132">
        <v>6718.2441787090147</v>
      </c>
      <c r="K88" s="132">
        <v>7463</v>
      </c>
      <c r="L88" s="133">
        <v>1.1108557238290344</v>
      </c>
      <c r="M88" s="132">
        <v>6371</v>
      </c>
      <c r="N88" s="134">
        <v>0.94831325425630164</v>
      </c>
      <c r="O88" s="132">
        <v>347.2441787090147</v>
      </c>
      <c r="P88" s="133">
        <v>5.1686745743698401E-2</v>
      </c>
    </row>
    <row r="89" spans="1:16" ht="20.25" customHeight="1">
      <c r="A89" s="63">
        <v>85</v>
      </c>
      <c r="B89" s="63">
        <v>10</v>
      </c>
      <c r="C89" s="64" t="s">
        <v>37</v>
      </c>
      <c r="D89" s="131" t="s">
        <v>257</v>
      </c>
      <c r="E89" s="66">
        <v>12185.639641195788</v>
      </c>
      <c r="F89" s="77" t="s">
        <v>123</v>
      </c>
      <c r="G89" s="68">
        <v>0</v>
      </c>
      <c r="H89" s="72" t="s">
        <v>126</v>
      </c>
      <c r="I89" s="88" t="s">
        <v>258</v>
      </c>
      <c r="J89" s="132">
        <v>12185.639641195788</v>
      </c>
      <c r="K89" s="132">
        <v>0</v>
      </c>
      <c r="L89" s="133">
        <v>0</v>
      </c>
      <c r="M89" s="132"/>
      <c r="N89" s="134">
        <v>0</v>
      </c>
      <c r="O89" s="132">
        <v>12185.639641195788</v>
      </c>
      <c r="P89" s="133">
        <v>1</v>
      </c>
    </row>
    <row r="90" spans="1:16" ht="20.25" customHeight="1">
      <c r="A90" s="63">
        <v>86</v>
      </c>
      <c r="B90" s="63">
        <v>11</v>
      </c>
      <c r="C90" s="64" t="s">
        <v>37</v>
      </c>
      <c r="D90" s="131" t="s">
        <v>259</v>
      </c>
      <c r="E90" s="66">
        <v>1683.6422707623726</v>
      </c>
      <c r="F90" s="78" t="s">
        <v>91</v>
      </c>
      <c r="G90" s="68">
        <v>1945</v>
      </c>
      <c r="H90" s="72" t="s">
        <v>116</v>
      </c>
      <c r="I90" s="88" t="s">
        <v>260</v>
      </c>
      <c r="J90" s="132">
        <v>1683.6422707623726</v>
      </c>
      <c r="K90" s="132">
        <v>1945</v>
      </c>
      <c r="L90" s="133">
        <v>1.1552335277964254</v>
      </c>
      <c r="M90" s="132">
        <v>1563.6647809999999</v>
      </c>
      <c r="N90" s="134">
        <v>0.92873932197720033</v>
      </c>
      <c r="O90" s="132">
        <v>119.97748976237267</v>
      </c>
      <c r="P90" s="133">
        <v>7.1260678022799631E-2</v>
      </c>
    </row>
    <row r="91" spans="1:16" ht="20.25" customHeight="1">
      <c r="A91" s="63">
        <v>87</v>
      </c>
      <c r="B91" s="63">
        <v>12</v>
      </c>
      <c r="C91" s="64" t="s">
        <v>37</v>
      </c>
      <c r="D91" s="131" t="s">
        <v>261</v>
      </c>
      <c r="E91" s="66">
        <v>4331.7072122638456</v>
      </c>
      <c r="F91" s="77" t="s">
        <v>91</v>
      </c>
      <c r="G91" s="68">
        <v>4423</v>
      </c>
      <c r="H91" s="72" t="s">
        <v>116</v>
      </c>
      <c r="I91" s="88" t="s">
        <v>262</v>
      </c>
      <c r="J91" s="132">
        <v>4331.7072122638456</v>
      </c>
      <c r="K91" s="132">
        <v>4423</v>
      </c>
      <c r="L91" s="133">
        <v>1.0210754751562359</v>
      </c>
      <c r="M91" s="132">
        <v>3939</v>
      </c>
      <c r="N91" s="134">
        <v>0.90934123821849722</v>
      </c>
      <c r="O91" s="132">
        <v>392.70721226384558</v>
      </c>
      <c r="P91" s="133">
        <v>9.0658761781502797E-2</v>
      </c>
    </row>
    <row r="92" spans="1:16" ht="20.25" customHeight="1">
      <c r="A92" s="63">
        <v>88</v>
      </c>
      <c r="B92" s="63">
        <v>1</v>
      </c>
      <c r="C92" s="62" t="s">
        <v>43</v>
      </c>
      <c r="D92" s="131" t="s">
        <v>263</v>
      </c>
      <c r="E92" s="66">
        <v>154.31830745484098</v>
      </c>
      <c r="F92" s="78" t="s">
        <v>91</v>
      </c>
      <c r="G92" s="68">
        <v>67.33</v>
      </c>
      <c r="H92" s="72" t="s">
        <v>116</v>
      </c>
      <c r="I92" s="88" t="s">
        <v>262</v>
      </c>
      <c r="J92" s="132">
        <v>154.31830745484098</v>
      </c>
      <c r="K92" s="132">
        <v>67.33</v>
      </c>
      <c r="L92" s="133">
        <v>0.4363059776281123</v>
      </c>
      <c r="M92" s="132">
        <v>26</v>
      </c>
      <c r="N92" s="134">
        <v>0.16848292615967503</v>
      </c>
      <c r="O92" s="132">
        <v>128.31830745484098</v>
      </c>
      <c r="P92" s="133">
        <v>0.83151707384032503</v>
      </c>
    </row>
    <row r="93" spans="1:16" ht="20.25" customHeight="1">
      <c r="A93" s="63">
        <v>89</v>
      </c>
      <c r="B93" s="63">
        <v>2</v>
      </c>
      <c r="C93" s="62" t="s">
        <v>43</v>
      </c>
      <c r="D93" s="131" t="s">
        <v>264</v>
      </c>
      <c r="E93" s="66">
        <v>182.8231245867737</v>
      </c>
      <c r="F93" s="77" t="s">
        <v>91</v>
      </c>
      <c r="G93" s="68">
        <v>119</v>
      </c>
      <c r="H93" s="72" t="s">
        <v>116</v>
      </c>
      <c r="I93" s="88" t="s">
        <v>265</v>
      </c>
      <c r="J93" s="132">
        <v>182.8231245867737</v>
      </c>
      <c r="K93" s="132">
        <v>119</v>
      </c>
      <c r="L93" s="133">
        <v>0.65090234218986232</v>
      </c>
      <c r="M93" s="132">
        <v>96</v>
      </c>
      <c r="N93" s="134">
        <v>0.52509768781703181</v>
      </c>
      <c r="O93" s="132">
        <v>86.823124586773702</v>
      </c>
      <c r="P93" s="133">
        <v>0.47490231218296824</v>
      </c>
    </row>
    <row r="94" spans="1:16" ht="20.25" customHeight="1">
      <c r="A94" s="63">
        <v>90</v>
      </c>
      <c r="B94" s="63">
        <v>3</v>
      </c>
      <c r="C94" s="62" t="s">
        <v>43</v>
      </c>
      <c r="D94" s="131" t="s">
        <v>266</v>
      </c>
      <c r="E94" s="66">
        <v>99.28278363217899</v>
      </c>
      <c r="F94" s="78" t="s">
        <v>104</v>
      </c>
      <c r="G94" s="68">
        <v>342</v>
      </c>
      <c r="H94" s="72" t="s">
        <v>116</v>
      </c>
      <c r="I94" s="88" t="s">
        <v>267</v>
      </c>
      <c r="J94" s="132">
        <v>99.28278363217899</v>
      </c>
      <c r="K94" s="132">
        <v>342</v>
      </c>
      <c r="L94" s="133">
        <v>3.444705995221037</v>
      </c>
      <c r="M94" s="132"/>
      <c r="N94" s="134">
        <v>0</v>
      </c>
      <c r="O94" s="132">
        <v>99.28278363217899</v>
      </c>
      <c r="P94" s="133">
        <v>1</v>
      </c>
    </row>
    <row r="95" spans="1:16" ht="20.25" customHeight="1">
      <c r="A95" s="63">
        <v>91</v>
      </c>
      <c r="B95" s="63">
        <v>4</v>
      </c>
      <c r="C95" s="62" t="s">
        <v>43</v>
      </c>
      <c r="D95" s="131" t="s">
        <v>268</v>
      </c>
      <c r="E95" s="66">
        <v>0</v>
      </c>
      <c r="F95" s="77" t="s">
        <v>123</v>
      </c>
      <c r="G95" s="68"/>
      <c r="H95" s="72" t="s">
        <v>116</v>
      </c>
      <c r="I95" s="88" t="s">
        <v>265</v>
      </c>
      <c r="J95" s="132">
        <v>0</v>
      </c>
      <c r="K95" s="132"/>
      <c r="L95" s="133" t="s">
        <v>394</v>
      </c>
      <c r="M95" s="132"/>
      <c r="N95" s="134" t="s">
        <v>394</v>
      </c>
      <c r="O95" s="132">
        <v>0</v>
      </c>
      <c r="P95" s="133" t="s">
        <v>394</v>
      </c>
    </row>
    <row r="96" spans="1:16" ht="20.25" customHeight="1">
      <c r="A96" s="63">
        <v>92</v>
      </c>
      <c r="B96" s="63">
        <v>5</v>
      </c>
      <c r="C96" s="62" t="s">
        <v>43</v>
      </c>
      <c r="D96" s="131" t="s">
        <v>269</v>
      </c>
      <c r="E96" s="66">
        <v>1.325343384300141</v>
      </c>
      <c r="F96" s="78" t="s">
        <v>123</v>
      </c>
      <c r="G96" s="68"/>
      <c r="H96" s="72" t="s">
        <v>116</v>
      </c>
      <c r="I96" s="88" t="s">
        <v>270</v>
      </c>
      <c r="J96" s="132">
        <v>1.325343384300141</v>
      </c>
      <c r="K96" s="132"/>
      <c r="L96" s="133">
        <v>0</v>
      </c>
      <c r="M96" s="132"/>
      <c r="N96" s="134">
        <v>0</v>
      </c>
      <c r="O96" s="132">
        <v>1.325343384300141</v>
      </c>
      <c r="P96" s="133">
        <v>1</v>
      </c>
    </row>
    <row r="97" spans="1:16" ht="20.25" customHeight="1">
      <c r="A97" s="63">
        <v>93</v>
      </c>
      <c r="B97" s="63">
        <v>6</v>
      </c>
      <c r="C97" s="62" t="s">
        <v>43</v>
      </c>
      <c r="D97" s="131" t="s">
        <v>271</v>
      </c>
      <c r="E97" s="66">
        <v>514.61319385260401</v>
      </c>
      <c r="F97" s="77" t="s">
        <v>104</v>
      </c>
      <c r="G97" s="68">
        <v>1320</v>
      </c>
      <c r="H97" s="72" t="s">
        <v>116</v>
      </c>
      <c r="I97" s="88" t="s">
        <v>167</v>
      </c>
      <c r="J97" s="132">
        <v>514.61319385260401</v>
      </c>
      <c r="K97" s="132">
        <v>1320</v>
      </c>
      <c r="L97" s="133">
        <v>2.5650333410963335</v>
      </c>
      <c r="M97" s="132"/>
      <c r="N97" s="134">
        <v>0</v>
      </c>
      <c r="O97" s="132">
        <v>514.61319385260401</v>
      </c>
      <c r="P97" s="133">
        <v>1</v>
      </c>
    </row>
    <row r="98" spans="1:16" ht="20.25" customHeight="1">
      <c r="A98" s="63">
        <v>94</v>
      </c>
      <c r="B98" s="63">
        <v>7</v>
      </c>
      <c r="C98" s="62" t="s">
        <v>43</v>
      </c>
      <c r="D98" s="131" t="s">
        <v>272</v>
      </c>
      <c r="E98" s="66">
        <v>442.12406838048526</v>
      </c>
      <c r="F98" s="78" t="s">
        <v>91</v>
      </c>
      <c r="G98" s="68">
        <v>1840</v>
      </c>
      <c r="H98" s="72" t="s">
        <v>116</v>
      </c>
      <c r="I98" s="88" t="s">
        <v>273</v>
      </c>
      <c r="J98" s="132">
        <v>442.12406838048526</v>
      </c>
      <c r="K98" s="132">
        <v>1840</v>
      </c>
      <c r="L98" s="133">
        <v>4.1617277402245474</v>
      </c>
      <c r="M98" s="132">
        <v>389</v>
      </c>
      <c r="N98" s="134">
        <v>0.87984352768877649</v>
      </c>
      <c r="O98" s="132">
        <v>53.124068380485255</v>
      </c>
      <c r="P98" s="133">
        <v>0.12015647231122348</v>
      </c>
    </row>
    <row r="99" spans="1:16" ht="20.25" customHeight="1">
      <c r="A99" s="63">
        <v>95</v>
      </c>
      <c r="B99" s="63">
        <v>1</v>
      </c>
      <c r="C99" s="62" t="s">
        <v>38</v>
      </c>
      <c r="D99" s="131" t="s">
        <v>274</v>
      </c>
      <c r="E99" s="66">
        <v>7287.3484691504718</v>
      </c>
      <c r="F99" s="77" t="s">
        <v>91</v>
      </c>
      <c r="G99" s="68">
        <v>17225.79</v>
      </c>
      <c r="H99" s="72" t="s">
        <v>97</v>
      </c>
      <c r="I99" s="88" t="s">
        <v>275</v>
      </c>
      <c r="J99" s="132">
        <v>7287.3484691504718</v>
      </c>
      <c r="K99" s="132">
        <v>17225.79</v>
      </c>
      <c r="L99" s="133">
        <v>2.363793919410047</v>
      </c>
      <c r="M99" s="135">
        <v>6707.5667263485102</v>
      </c>
      <c r="N99" s="134">
        <v>0.92043995902537779</v>
      </c>
      <c r="O99" s="132">
        <v>579.78174280196163</v>
      </c>
      <c r="P99" s="133">
        <v>7.9560040974622159E-2</v>
      </c>
    </row>
    <row r="100" spans="1:16" ht="20.25" customHeight="1">
      <c r="A100" s="63">
        <v>96</v>
      </c>
      <c r="B100" s="63">
        <v>2</v>
      </c>
      <c r="C100" s="62" t="s">
        <v>38</v>
      </c>
      <c r="D100" s="131" t="s">
        <v>276</v>
      </c>
      <c r="E100" s="66">
        <v>4439.0625036094234</v>
      </c>
      <c r="F100" s="78" t="s">
        <v>91</v>
      </c>
      <c r="G100" s="68">
        <v>5288</v>
      </c>
      <c r="H100" s="72" t="s">
        <v>97</v>
      </c>
      <c r="I100" s="88" t="s">
        <v>277</v>
      </c>
      <c r="J100" s="132">
        <v>4439.0625036094234</v>
      </c>
      <c r="K100" s="132">
        <v>5288</v>
      </c>
      <c r="L100" s="133">
        <v>1.1912425192707472</v>
      </c>
      <c r="M100" s="132">
        <v>4205</v>
      </c>
      <c r="N100" s="134">
        <v>0.94727208652297501</v>
      </c>
      <c r="O100" s="132">
        <v>234.0625036094234</v>
      </c>
      <c r="P100" s="133">
        <v>5.2727913477024942E-2</v>
      </c>
    </row>
    <row r="101" spans="1:16" ht="20.25" customHeight="1">
      <c r="A101" s="63">
        <v>97</v>
      </c>
      <c r="B101" s="63">
        <v>3</v>
      </c>
      <c r="C101" s="62" t="s">
        <v>38</v>
      </c>
      <c r="D101" s="131" t="s">
        <v>278</v>
      </c>
      <c r="E101" s="66">
        <v>12876.112196200453</v>
      </c>
      <c r="F101" s="77" t="s">
        <v>104</v>
      </c>
      <c r="G101" s="68">
        <v>33022</v>
      </c>
      <c r="H101" s="72" t="s">
        <v>116</v>
      </c>
      <c r="I101" s="88" t="s">
        <v>279</v>
      </c>
      <c r="J101" s="132">
        <v>12876.112196200453</v>
      </c>
      <c r="K101" s="132">
        <v>33022</v>
      </c>
      <c r="L101" s="133">
        <v>2.5645939936547224</v>
      </c>
      <c r="M101" s="132"/>
      <c r="N101" s="134">
        <v>0</v>
      </c>
      <c r="O101" s="132">
        <v>12876.112196200453</v>
      </c>
      <c r="P101" s="133">
        <v>1</v>
      </c>
    </row>
    <row r="102" spans="1:16" ht="20.25" customHeight="1">
      <c r="A102" s="63">
        <v>98</v>
      </c>
      <c r="B102" s="63">
        <v>4</v>
      </c>
      <c r="C102" s="62" t="s">
        <v>38</v>
      </c>
      <c r="D102" s="131" t="s">
        <v>280</v>
      </c>
      <c r="E102" s="66">
        <v>520.3251967200689</v>
      </c>
      <c r="F102" s="78" t="s">
        <v>104</v>
      </c>
      <c r="G102" s="68">
        <v>459</v>
      </c>
      <c r="H102" s="72" t="s">
        <v>116</v>
      </c>
      <c r="I102" s="88" t="s">
        <v>281</v>
      </c>
      <c r="J102" s="132">
        <v>520.3251967200689</v>
      </c>
      <c r="K102" s="132">
        <v>459</v>
      </c>
      <c r="L102" s="133">
        <v>0.88214063607405624</v>
      </c>
      <c r="M102" s="132"/>
      <c r="N102" s="134">
        <v>0</v>
      </c>
      <c r="O102" s="132">
        <v>520.3251967200689</v>
      </c>
      <c r="P102" s="133">
        <v>1</v>
      </c>
    </row>
    <row r="103" spans="1:16" ht="20.25" customHeight="1">
      <c r="A103" s="63">
        <v>99</v>
      </c>
      <c r="B103" s="63">
        <v>5</v>
      </c>
      <c r="C103" s="62" t="s">
        <v>38</v>
      </c>
      <c r="D103" s="131" t="s">
        <v>282</v>
      </c>
      <c r="E103" s="66">
        <v>3951.8564539220347</v>
      </c>
      <c r="F103" s="77" t="s">
        <v>104</v>
      </c>
      <c r="G103" s="68">
        <v>3002</v>
      </c>
      <c r="H103" s="72" t="s">
        <v>116</v>
      </c>
      <c r="I103" s="88" t="s">
        <v>225</v>
      </c>
      <c r="J103" s="132">
        <v>3951.8564539220347</v>
      </c>
      <c r="K103" s="132">
        <v>3002</v>
      </c>
      <c r="L103" s="133">
        <v>0.75964297666243774</v>
      </c>
      <c r="M103" s="132"/>
      <c r="N103" s="134">
        <v>0</v>
      </c>
      <c r="O103" s="132">
        <v>3951.8564539220347</v>
      </c>
      <c r="P103" s="133">
        <v>1</v>
      </c>
    </row>
    <row r="104" spans="1:16" ht="20.25" customHeight="1">
      <c r="A104" s="63">
        <v>100</v>
      </c>
      <c r="B104" s="63">
        <v>6</v>
      </c>
      <c r="C104" s="62" t="s">
        <v>38</v>
      </c>
      <c r="D104" s="131" t="s">
        <v>284</v>
      </c>
      <c r="E104" s="66">
        <v>5786.7880307676705</v>
      </c>
      <c r="F104" s="78" t="s">
        <v>104</v>
      </c>
      <c r="G104" s="68">
        <v>43213.71</v>
      </c>
      <c r="H104" s="72" t="s">
        <v>116</v>
      </c>
      <c r="I104" s="88" t="s">
        <v>285</v>
      </c>
      <c r="J104" s="132">
        <v>5786.7880307676705</v>
      </c>
      <c r="K104" s="132">
        <v>43213.71</v>
      </c>
      <c r="L104" s="133">
        <v>7.467650408177696</v>
      </c>
      <c r="M104" s="132"/>
      <c r="N104" s="134">
        <v>0</v>
      </c>
      <c r="O104" s="132">
        <v>5786.7880307676705</v>
      </c>
      <c r="P104" s="133">
        <v>1</v>
      </c>
    </row>
    <row r="105" spans="1:16" ht="20.25" customHeight="1">
      <c r="A105" s="63">
        <v>101</v>
      </c>
      <c r="B105" s="63">
        <v>7</v>
      </c>
      <c r="C105" s="62" t="s">
        <v>38</v>
      </c>
      <c r="D105" s="131" t="s">
        <v>286</v>
      </c>
      <c r="E105" s="66">
        <v>6370.92216481783</v>
      </c>
      <c r="F105" s="77" t="s">
        <v>104</v>
      </c>
      <c r="G105" s="68">
        <v>28154.400000000001</v>
      </c>
      <c r="H105" s="72" t="s">
        <v>116</v>
      </c>
      <c r="I105" s="88" t="s">
        <v>287</v>
      </c>
      <c r="J105" s="132">
        <v>6370.92216481783</v>
      </c>
      <c r="K105" s="132">
        <v>28154.400000000001</v>
      </c>
      <c r="L105" s="133">
        <v>4.4192032600048332</v>
      </c>
      <c r="M105" s="132"/>
      <c r="N105" s="134">
        <v>0</v>
      </c>
      <c r="O105" s="132">
        <v>6370.92216481783</v>
      </c>
      <c r="P105" s="133">
        <v>1</v>
      </c>
    </row>
    <row r="106" spans="1:16" ht="20.25" customHeight="1">
      <c r="A106" s="63">
        <v>102</v>
      </c>
      <c r="B106" s="63">
        <v>8</v>
      </c>
      <c r="C106" s="62" t="s">
        <v>38</v>
      </c>
      <c r="D106" s="131" t="s">
        <v>288</v>
      </c>
      <c r="E106" s="66">
        <v>3835.2564298252005</v>
      </c>
      <c r="F106" s="78" t="s">
        <v>104</v>
      </c>
      <c r="G106" s="68">
        <v>5003.8599999999997</v>
      </c>
      <c r="H106" s="72" t="s">
        <v>126</v>
      </c>
      <c r="I106" s="88" t="s">
        <v>289</v>
      </c>
      <c r="J106" s="132">
        <v>3835.2564298252005</v>
      </c>
      <c r="K106" s="132">
        <v>5003.8599999999997</v>
      </c>
      <c r="L106" s="133">
        <v>1.3047002440533189</v>
      </c>
      <c r="M106" s="132"/>
      <c r="N106" s="134">
        <v>0</v>
      </c>
      <c r="O106" s="132">
        <v>3835.2564298252005</v>
      </c>
      <c r="P106" s="133">
        <v>1</v>
      </c>
    </row>
    <row r="107" spans="1:16" ht="20.25" customHeight="1">
      <c r="A107" s="63">
        <v>103</v>
      </c>
      <c r="B107" s="63">
        <v>9</v>
      </c>
      <c r="C107" s="62" t="s">
        <v>38</v>
      </c>
      <c r="D107" s="131" t="s">
        <v>290</v>
      </c>
      <c r="E107" s="66">
        <v>7818.8543339398757</v>
      </c>
      <c r="F107" s="77" t="s">
        <v>91</v>
      </c>
      <c r="G107" s="68">
        <v>8960.57</v>
      </c>
      <c r="H107" s="72" t="s">
        <v>97</v>
      </c>
      <c r="I107" s="88" t="s">
        <v>291</v>
      </c>
      <c r="J107" s="132">
        <v>7818.8543339398757</v>
      </c>
      <c r="K107" s="132">
        <v>8960.57</v>
      </c>
      <c r="L107" s="133">
        <v>1.1460208385139232</v>
      </c>
      <c r="M107" s="135">
        <v>7319.2635599330797</v>
      </c>
      <c r="N107" s="134">
        <v>0.9361043507565826</v>
      </c>
      <c r="O107" s="132">
        <v>499.59077400679598</v>
      </c>
      <c r="P107" s="133">
        <v>6.3895649243417368E-2</v>
      </c>
    </row>
    <row r="108" spans="1:16" ht="20.25" customHeight="1">
      <c r="A108" s="63">
        <v>104</v>
      </c>
      <c r="B108" s="63">
        <v>10</v>
      </c>
      <c r="C108" s="62" t="s">
        <v>38</v>
      </c>
      <c r="D108" s="131" t="s">
        <v>292</v>
      </c>
      <c r="E108" s="66">
        <v>10523.333537295153</v>
      </c>
      <c r="F108" s="78" t="s">
        <v>104</v>
      </c>
      <c r="G108" s="68">
        <v>17000</v>
      </c>
      <c r="H108" s="72" t="s">
        <v>116</v>
      </c>
      <c r="I108" s="88" t="s">
        <v>293</v>
      </c>
      <c r="J108" s="132">
        <v>10523.333537295153</v>
      </c>
      <c r="K108" s="132">
        <v>17000</v>
      </c>
      <c r="L108" s="133">
        <v>1.6154576817081068</v>
      </c>
      <c r="M108" s="136"/>
      <c r="N108" s="134">
        <v>0</v>
      </c>
      <c r="O108" s="132">
        <v>10523.333537295153</v>
      </c>
      <c r="P108" s="133">
        <v>1</v>
      </c>
    </row>
    <row r="109" spans="1:16" ht="20.25" customHeight="1">
      <c r="A109" s="63">
        <v>105</v>
      </c>
      <c r="B109" s="63">
        <v>11</v>
      </c>
      <c r="C109" s="62" t="s">
        <v>38</v>
      </c>
      <c r="D109" s="131" t="s">
        <v>294</v>
      </c>
      <c r="E109" s="66">
        <v>4939.4830959302863</v>
      </c>
      <c r="F109" s="77" t="s">
        <v>104</v>
      </c>
      <c r="G109" s="68">
        <v>6213</v>
      </c>
      <c r="H109" s="72" t="s">
        <v>116</v>
      </c>
      <c r="I109" s="88" t="s">
        <v>183</v>
      </c>
      <c r="J109" s="132">
        <v>4939.4830959302863</v>
      </c>
      <c r="K109" s="132">
        <v>6213</v>
      </c>
      <c r="L109" s="133">
        <v>1.2578239219239324</v>
      </c>
      <c r="M109" s="132"/>
      <c r="N109" s="134">
        <v>0</v>
      </c>
      <c r="O109" s="132">
        <v>4939.4830959302863</v>
      </c>
      <c r="P109" s="133">
        <v>1</v>
      </c>
    </row>
    <row r="110" spans="1:16" ht="20.25" customHeight="1">
      <c r="A110" s="63">
        <v>106</v>
      </c>
      <c r="B110" s="63">
        <v>1</v>
      </c>
      <c r="C110" s="64" t="s">
        <v>40</v>
      </c>
      <c r="D110" s="131" t="s">
        <v>295</v>
      </c>
      <c r="E110" s="84">
        <v>8329.3106324087821</v>
      </c>
      <c r="F110" s="78" t="s">
        <v>104</v>
      </c>
      <c r="G110" s="68">
        <v>7630.3</v>
      </c>
      <c r="H110" s="72" t="s">
        <v>126</v>
      </c>
      <c r="I110" s="88" t="s">
        <v>183</v>
      </c>
      <c r="J110" s="132">
        <v>8329.3106324087821</v>
      </c>
      <c r="K110" s="132">
        <v>7630.3</v>
      </c>
      <c r="L110" s="133">
        <v>0.91607821304094739</v>
      </c>
      <c r="M110" s="132"/>
      <c r="N110" s="134">
        <v>0</v>
      </c>
      <c r="O110" s="132">
        <v>8329.3106324087821</v>
      </c>
      <c r="P110" s="133">
        <v>1</v>
      </c>
    </row>
    <row r="111" spans="1:16" ht="20.25" customHeight="1">
      <c r="A111" s="63">
        <v>107</v>
      </c>
      <c r="B111" s="63">
        <v>2</v>
      </c>
      <c r="C111" s="64" t="s">
        <v>40</v>
      </c>
      <c r="D111" s="131" t="s">
        <v>296</v>
      </c>
      <c r="E111" s="84">
        <v>2187.8853890418682</v>
      </c>
      <c r="F111" s="77" t="s">
        <v>104</v>
      </c>
      <c r="G111" s="68">
        <v>6615</v>
      </c>
      <c r="H111" s="72" t="s">
        <v>126</v>
      </c>
      <c r="I111" s="88" t="s">
        <v>297</v>
      </c>
      <c r="J111" s="132">
        <v>2187.8853890418682</v>
      </c>
      <c r="K111" s="132">
        <v>6615</v>
      </c>
      <c r="L111" s="133">
        <v>3.0234673320328174</v>
      </c>
      <c r="M111" s="132"/>
      <c r="N111" s="134">
        <v>0</v>
      </c>
      <c r="O111" s="132">
        <v>2187.8853890418682</v>
      </c>
      <c r="P111" s="133">
        <v>1</v>
      </c>
    </row>
    <row r="112" spans="1:16" ht="20.25" customHeight="1">
      <c r="A112" s="63">
        <v>108</v>
      </c>
      <c r="B112" s="63">
        <v>3</v>
      </c>
      <c r="C112" s="64" t="s">
        <v>40</v>
      </c>
      <c r="D112" s="131" t="s">
        <v>298</v>
      </c>
      <c r="E112" s="84">
        <v>4591.9380982396933</v>
      </c>
      <c r="F112" s="78" t="s">
        <v>104</v>
      </c>
      <c r="G112" s="68">
        <v>3463.96</v>
      </c>
      <c r="H112" s="72" t="s">
        <v>92</v>
      </c>
      <c r="I112" s="88" t="s">
        <v>299</v>
      </c>
      <c r="J112" s="132">
        <v>4591.9380982396933</v>
      </c>
      <c r="K112" s="132">
        <v>3463.96</v>
      </c>
      <c r="L112" s="133">
        <v>0.75435685888882076</v>
      </c>
      <c r="M112" s="132"/>
      <c r="N112" s="134">
        <v>0</v>
      </c>
      <c r="O112" s="132">
        <v>4591.9380982396933</v>
      </c>
      <c r="P112" s="133">
        <v>1</v>
      </c>
    </row>
    <row r="113" spans="1:16" ht="20.25" customHeight="1">
      <c r="A113" s="63">
        <v>109</v>
      </c>
      <c r="B113" s="63">
        <v>4</v>
      </c>
      <c r="C113" s="64" t="s">
        <v>40</v>
      </c>
      <c r="D113" s="131" t="s">
        <v>300</v>
      </c>
      <c r="E113" s="84">
        <v>6116.4050620521712</v>
      </c>
      <c r="F113" s="77" t="s">
        <v>91</v>
      </c>
      <c r="G113" s="68">
        <v>8283</v>
      </c>
      <c r="H113" s="72" t="s">
        <v>116</v>
      </c>
      <c r="I113" s="88" t="s">
        <v>243</v>
      </c>
      <c r="J113" s="132">
        <v>6116.4050620521712</v>
      </c>
      <c r="K113" s="132">
        <v>8283</v>
      </c>
      <c r="L113" s="133">
        <v>1.3542268564569029</v>
      </c>
      <c r="M113" s="132">
        <v>6017</v>
      </c>
      <c r="N113" s="134">
        <v>0.98374779612473562</v>
      </c>
      <c r="O113" s="132">
        <v>99.405062052171161</v>
      </c>
      <c r="P113" s="133">
        <v>1.6252203875264413E-2</v>
      </c>
    </row>
    <row r="114" spans="1:16" ht="20.25" customHeight="1">
      <c r="A114" s="63">
        <v>110</v>
      </c>
      <c r="B114" s="63">
        <v>5</v>
      </c>
      <c r="C114" s="64" t="s">
        <v>40</v>
      </c>
      <c r="D114" s="131" t="s">
        <v>301</v>
      </c>
      <c r="E114" s="84">
        <v>3344.564602945627</v>
      </c>
      <c r="F114" s="78" t="s">
        <v>104</v>
      </c>
      <c r="G114" s="68">
        <v>5682</v>
      </c>
      <c r="H114" s="72" t="s">
        <v>97</v>
      </c>
      <c r="I114" s="88" t="s">
        <v>302</v>
      </c>
      <c r="J114" s="132">
        <v>3344.564602945627</v>
      </c>
      <c r="K114" s="132">
        <v>5682</v>
      </c>
      <c r="L114" s="133">
        <v>1.6988758402202024</v>
      </c>
      <c r="M114" s="132"/>
      <c r="N114" s="134">
        <v>0</v>
      </c>
      <c r="O114" s="132">
        <v>3344.564602945627</v>
      </c>
      <c r="P114" s="133">
        <v>1</v>
      </c>
    </row>
    <row r="115" spans="1:16" ht="20.25" customHeight="1">
      <c r="A115" s="63">
        <v>111</v>
      </c>
      <c r="B115" s="63">
        <v>6</v>
      </c>
      <c r="C115" s="64" t="s">
        <v>40</v>
      </c>
      <c r="D115" s="131" t="s">
        <v>303</v>
      </c>
      <c r="E115" s="66">
        <v>580.00379746961005</v>
      </c>
      <c r="F115" s="77" t="s">
        <v>104</v>
      </c>
      <c r="G115" s="68">
        <v>462</v>
      </c>
      <c r="H115" s="72" t="s">
        <v>116</v>
      </c>
      <c r="I115" s="88" t="s">
        <v>304</v>
      </c>
      <c r="J115" s="132">
        <v>580.00379746961005</v>
      </c>
      <c r="K115" s="132">
        <v>462</v>
      </c>
      <c r="L115" s="133">
        <v>0.79654650886006828</v>
      </c>
      <c r="M115" s="132"/>
      <c r="N115" s="134">
        <v>0</v>
      </c>
      <c r="O115" s="132">
        <v>580.00379746961005</v>
      </c>
      <c r="P115" s="133">
        <v>1</v>
      </c>
    </row>
    <row r="116" spans="1:16" ht="20.25" customHeight="1">
      <c r="A116" s="63">
        <v>112</v>
      </c>
      <c r="B116" s="63">
        <v>7</v>
      </c>
      <c r="C116" s="64" t="s">
        <v>40</v>
      </c>
      <c r="D116" s="131" t="s">
        <v>305</v>
      </c>
      <c r="E116" s="66">
        <v>8479.4587555665312</v>
      </c>
      <c r="F116" s="78" t="s">
        <v>91</v>
      </c>
      <c r="G116" s="68">
        <v>9010.2099999999991</v>
      </c>
      <c r="H116" s="72" t="s">
        <v>126</v>
      </c>
      <c r="I116" s="88" t="s">
        <v>265</v>
      </c>
      <c r="J116" s="132">
        <v>8479.4587555665312</v>
      </c>
      <c r="K116" s="132">
        <v>9010.2099999999991</v>
      </c>
      <c r="L116" s="133">
        <v>1.0625925851794544</v>
      </c>
      <c r="M116" s="132">
        <v>8479</v>
      </c>
      <c r="N116" s="134">
        <v>0.99994589801309786</v>
      </c>
      <c r="O116" s="132">
        <v>0.4587555665311811</v>
      </c>
      <c r="P116" s="133">
        <v>5.4101986902173525E-5</v>
      </c>
    </row>
    <row r="117" spans="1:16" ht="20.25" customHeight="1">
      <c r="A117" s="63">
        <v>113</v>
      </c>
      <c r="B117" s="63">
        <v>8</v>
      </c>
      <c r="C117" s="64" t="s">
        <v>40</v>
      </c>
      <c r="D117" s="131" t="s">
        <v>306</v>
      </c>
      <c r="E117" s="66">
        <v>3391.9151384733791</v>
      </c>
      <c r="F117" s="77" t="s">
        <v>104</v>
      </c>
      <c r="G117" s="68">
        <v>4675</v>
      </c>
      <c r="H117" s="72" t="s">
        <v>126</v>
      </c>
      <c r="I117" s="88" t="s">
        <v>307</v>
      </c>
      <c r="J117" s="132">
        <v>3391.9151384733791</v>
      </c>
      <c r="K117" s="132">
        <v>4675</v>
      </c>
      <c r="L117" s="133">
        <v>1.3782774064636851</v>
      </c>
      <c r="M117" s="132"/>
      <c r="N117" s="134">
        <v>0</v>
      </c>
      <c r="O117" s="132">
        <v>3391.9151384733791</v>
      </c>
      <c r="P117" s="133">
        <v>1</v>
      </c>
    </row>
    <row r="118" spans="1:16" ht="20.25" customHeight="1">
      <c r="A118" s="63">
        <v>114</v>
      </c>
      <c r="B118" s="63">
        <v>9</v>
      </c>
      <c r="C118" s="64" t="s">
        <v>40</v>
      </c>
      <c r="D118" s="131" t="s">
        <v>308</v>
      </c>
      <c r="E118" s="66">
        <v>5062.4979163508151</v>
      </c>
      <c r="F118" s="78" t="s">
        <v>123</v>
      </c>
      <c r="G118" s="68"/>
      <c r="H118" s="72" t="s">
        <v>116</v>
      </c>
      <c r="I118" s="88" t="s">
        <v>223</v>
      </c>
      <c r="J118" s="132">
        <v>5062.4979163508151</v>
      </c>
      <c r="K118" s="132"/>
      <c r="L118" s="133">
        <v>0</v>
      </c>
      <c r="M118" s="132"/>
      <c r="N118" s="134">
        <v>0</v>
      </c>
      <c r="O118" s="132">
        <v>5062.4979163508151</v>
      </c>
      <c r="P118" s="133">
        <v>1</v>
      </c>
    </row>
    <row r="119" spans="1:16" ht="20.25" customHeight="1">
      <c r="A119" s="63">
        <v>115</v>
      </c>
      <c r="B119" s="63">
        <v>10</v>
      </c>
      <c r="C119" s="64" t="s">
        <v>40</v>
      </c>
      <c r="D119" s="131" t="s">
        <v>309</v>
      </c>
      <c r="E119" s="66">
        <v>8756.2320327696325</v>
      </c>
      <c r="F119" s="77" t="s">
        <v>104</v>
      </c>
      <c r="G119" s="68">
        <v>8325.35</v>
      </c>
      <c r="H119" s="72" t="s">
        <v>126</v>
      </c>
      <c r="I119" s="88" t="s">
        <v>227</v>
      </c>
      <c r="J119" s="132">
        <v>8756.2320327696325</v>
      </c>
      <c r="K119" s="132">
        <v>8325.35</v>
      </c>
      <c r="L119" s="133">
        <v>0.95079138707641786</v>
      </c>
      <c r="M119" s="132"/>
      <c r="N119" s="134">
        <v>0</v>
      </c>
      <c r="O119" s="132">
        <v>8756.2320327696325</v>
      </c>
      <c r="P119" s="133">
        <v>1</v>
      </c>
    </row>
    <row r="120" spans="1:16" ht="20.25" customHeight="1">
      <c r="A120" s="63">
        <v>116</v>
      </c>
      <c r="B120" s="63">
        <v>1</v>
      </c>
      <c r="C120" s="62" t="s">
        <v>39</v>
      </c>
      <c r="D120" s="131" t="s">
        <v>310</v>
      </c>
      <c r="E120" s="66">
        <v>174370.85888540975</v>
      </c>
      <c r="F120" s="78" t="s">
        <v>91</v>
      </c>
      <c r="G120" s="68">
        <v>104973</v>
      </c>
      <c r="H120" s="72" t="s">
        <v>116</v>
      </c>
      <c r="I120" s="88" t="s">
        <v>311</v>
      </c>
      <c r="J120" s="132">
        <v>174370.85888540975</v>
      </c>
      <c r="K120" s="132">
        <v>104973</v>
      </c>
      <c r="L120" s="133">
        <v>0.60200999565520563</v>
      </c>
      <c r="M120" s="132">
        <v>104590.477313725</v>
      </c>
      <c r="N120" s="134">
        <v>0.59981626507017494</v>
      </c>
      <c r="O120" s="132">
        <v>69780.381571684746</v>
      </c>
      <c r="P120" s="133">
        <v>0.40018373492982506</v>
      </c>
    </row>
    <row r="121" spans="1:16" ht="20.25" customHeight="1">
      <c r="A121" s="63">
        <v>117</v>
      </c>
      <c r="B121" s="63">
        <v>2</v>
      </c>
      <c r="C121" s="64" t="s">
        <v>39</v>
      </c>
      <c r="D121" s="131" t="s">
        <v>312</v>
      </c>
      <c r="E121" s="84">
        <v>9339.6819357032382</v>
      </c>
      <c r="F121" s="77" t="s">
        <v>91</v>
      </c>
      <c r="G121" s="68">
        <v>11562</v>
      </c>
      <c r="H121" s="72" t="s">
        <v>126</v>
      </c>
      <c r="I121" s="88" t="s">
        <v>313</v>
      </c>
      <c r="J121" s="132">
        <v>9339.6819357032382</v>
      </c>
      <c r="K121" s="132">
        <v>11562</v>
      </c>
      <c r="L121" s="133">
        <v>1.237943655854211</v>
      </c>
      <c r="M121" s="135"/>
      <c r="N121" s="134">
        <v>0</v>
      </c>
      <c r="O121" s="132">
        <v>9339.6819357032382</v>
      </c>
      <c r="P121" s="133">
        <v>1</v>
      </c>
    </row>
    <row r="122" spans="1:16" ht="20.25" customHeight="1">
      <c r="A122" s="63">
        <v>118</v>
      </c>
      <c r="B122" s="63">
        <v>3</v>
      </c>
      <c r="C122" s="64" t="s">
        <v>39</v>
      </c>
      <c r="D122" s="131" t="s">
        <v>314</v>
      </c>
      <c r="E122" s="84">
        <v>1086.7443211401055</v>
      </c>
      <c r="F122" s="78" t="s">
        <v>91</v>
      </c>
      <c r="G122" s="68">
        <v>2128</v>
      </c>
      <c r="H122" s="72" t="s">
        <v>116</v>
      </c>
      <c r="I122" s="88" t="s">
        <v>315</v>
      </c>
      <c r="J122" s="132">
        <v>1086.7443211401055</v>
      </c>
      <c r="K122" s="132">
        <v>2128</v>
      </c>
      <c r="L122" s="133">
        <v>1.9581422774471102</v>
      </c>
      <c r="M122" s="135"/>
      <c r="N122" s="134">
        <v>0</v>
      </c>
      <c r="O122" s="132">
        <v>1086.7443211401055</v>
      </c>
      <c r="P122" s="133">
        <v>1</v>
      </c>
    </row>
    <row r="123" spans="1:16" ht="20.25" customHeight="1">
      <c r="A123" s="63">
        <v>119</v>
      </c>
      <c r="B123" s="63">
        <v>4</v>
      </c>
      <c r="C123" s="64" t="s">
        <v>39</v>
      </c>
      <c r="D123" s="131" t="s">
        <v>316</v>
      </c>
      <c r="E123" s="84">
        <v>2946.5212062378823</v>
      </c>
      <c r="F123" s="77" t="s">
        <v>91</v>
      </c>
      <c r="G123" s="68">
        <v>1392.66</v>
      </c>
      <c r="H123" s="72" t="s">
        <v>92</v>
      </c>
      <c r="I123" s="88" t="s">
        <v>317</v>
      </c>
      <c r="J123" s="132">
        <v>2946.5212062378823</v>
      </c>
      <c r="K123" s="132">
        <v>1392.66</v>
      </c>
      <c r="L123" s="133">
        <v>0.47264550380689374</v>
      </c>
      <c r="M123" s="132">
        <v>986.37137129999996</v>
      </c>
      <c r="N123" s="134">
        <v>0.33475794072407128</v>
      </c>
      <c r="O123" s="132">
        <v>1960.1498349378824</v>
      </c>
      <c r="P123" s="133">
        <v>0.66524205927592872</v>
      </c>
    </row>
    <row r="124" spans="1:16" ht="20.25" customHeight="1">
      <c r="A124" s="63">
        <v>120</v>
      </c>
      <c r="B124" s="63">
        <v>5</v>
      </c>
      <c r="C124" s="62" t="s">
        <v>39</v>
      </c>
      <c r="D124" s="131" t="s">
        <v>318</v>
      </c>
      <c r="E124" s="66">
        <v>3409.1530559464659</v>
      </c>
      <c r="F124" s="78" t="s">
        <v>104</v>
      </c>
      <c r="G124" s="68">
        <v>1014</v>
      </c>
      <c r="H124" s="72" t="s">
        <v>116</v>
      </c>
      <c r="I124" s="88" t="s">
        <v>319</v>
      </c>
      <c r="J124" s="132">
        <v>3409.1530559464659</v>
      </c>
      <c r="K124" s="132">
        <v>1014</v>
      </c>
      <c r="L124" s="133">
        <v>0.29743457784370092</v>
      </c>
      <c r="M124" s="132"/>
      <c r="N124" s="134">
        <v>0</v>
      </c>
      <c r="O124" s="132">
        <v>3409.1530559464659</v>
      </c>
      <c r="P124" s="133">
        <v>1</v>
      </c>
    </row>
    <row r="125" spans="1:16" ht="20.25" customHeight="1">
      <c r="A125" s="63">
        <v>121</v>
      </c>
      <c r="B125" s="63">
        <v>6</v>
      </c>
      <c r="C125" s="62" t="s">
        <v>39</v>
      </c>
      <c r="D125" s="131" t="s">
        <v>320</v>
      </c>
      <c r="E125" s="66">
        <v>279.89333962433841</v>
      </c>
      <c r="F125" s="77" t="s">
        <v>123</v>
      </c>
      <c r="G125" s="68"/>
      <c r="H125" s="72" t="s">
        <v>116</v>
      </c>
      <c r="I125" s="88" t="s">
        <v>321</v>
      </c>
      <c r="J125" s="132">
        <v>279.89333962433841</v>
      </c>
      <c r="K125" s="132"/>
      <c r="L125" s="133">
        <v>0</v>
      </c>
      <c r="M125" s="132"/>
      <c r="N125" s="134">
        <v>0</v>
      </c>
      <c r="O125" s="132">
        <v>279.89333962433841</v>
      </c>
      <c r="P125" s="133">
        <v>1</v>
      </c>
    </row>
    <row r="126" spans="1:16" ht="20.25" customHeight="1">
      <c r="A126" s="63">
        <v>122</v>
      </c>
      <c r="B126" s="63">
        <v>7</v>
      </c>
      <c r="C126" s="62" t="s">
        <v>39</v>
      </c>
      <c r="D126" s="131" t="s">
        <v>322</v>
      </c>
      <c r="E126" s="66">
        <v>12521.069683857606</v>
      </c>
      <c r="F126" s="78" t="s">
        <v>123</v>
      </c>
      <c r="G126" s="68"/>
      <c r="H126" s="72" t="s">
        <v>116</v>
      </c>
      <c r="I126" s="88" t="s">
        <v>323</v>
      </c>
      <c r="J126" s="132">
        <v>12521.069683857606</v>
      </c>
      <c r="K126" s="132"/>
      <c r="L126" s="133">
        <v>0</v>
      </c>
      <c r="M126" s="132"/>
      <c r="N126" s="134">
        <v>0</v>
      </c>
      <c r="O126" s="132">
        <v>12521.069683857606</v>
      </c>
      <c r="P126" s="133">
        <v>1</v>
      </c>
    </row>
    <row r="127" spans="1:16" ht="20.25" customHeight="1">
      <c r="A127" s="63">
        <v>123</v>
      </c>
      <c r="B127" s="63">
        <v>8</v>
      </c>
      <c r="C127" s="64" t="s">
        <v>39</v>
      </c>
      <c r="D127" s="131" t="s">
        <v>324</v>
      </c>
      <c r="E127" s="84">
        <v>13905.82343508222</v>
      </c>
      <c r="F127" s="77" t="s">
        <v>91</v>
      </c>
      <c r="G127" s="68">
        <v>19632.400000000001</v>
      </c>
      <c r="H127" s="72" t="s">
        <v>92</v>
      </c>
      <c r="I127" s="88" t="s">
        <v>325</v>
      </c>
      <c r="J127" s="132">
        <v>13905.82343508222</v>
      </c>
      <c r="K127" s="132">
        <v>19632.400000000001</v>
      </c>
      <c r="L127" s="133">
        <v>1.4118113962579535</v>
      </c>
      <c r="M127" s="132">
        <v>13453</v>
      </c>
      <c r="N127" s="134">
        <v>0.96743641703807215</v>
      </c>
      <c r="O127" s="132">
        <v>452.82343508222039</v>
      </c>
      <c r="P127" s="133">
        <v>3.2563582961927851E-2</v>
      </c>
    </row>
    <row r="128" spans="1:16" ht="20.25" customHeight="1">
      <c r="A128" s="63">
        <v>124</v>
      </c>
      <c r="B128" s="63">
        <v>9</v>
      </c>
      <c r="C128" s="64" t="s">
        <v>39</v>
      </c>
      <c r="D128" s="131" t="s">
        <v>326</v>
      </c>
      <c r="E128" s="84">
        <v>34646.422833234414</v>
      </c>
      <c r="F128" s="78" t="s">
        <v>91</v>
      </c>
      <c r="G128" s="68">
        <v>40544.680000000008</v>
      </c>
      <c r="H128" s="72" t="s">
        <v>97</v>
      </c>
      <c r="I128" s="88" t="s">
        <v>327</v>
      </c>
      <c r="J128" s="132">
        <v>34646.422833234414</v>
      </c>
      <c r="K128" s="132">
        <v>40544.680000000008</v>
      </c>
      <c r="L128" s="133">
        <v>1.1702414472961902</v>
      </c>
      <c r="M128" s="132">
        <v>32723</v>
      </c>
      <c r="N128" s="134">
        <v>0.94448423023373773</v>
      </c>
      <c r="O128" s="132">
        <v>1923.4228332344137</v>
      </c>
      <c r="P128" s="133">
        <v>5.5515769766262268E-2</v>
      </c>
    </row>
    <row r="129" spans="1:16" ht="20.25" customHeight="1">
      <c r="A129" s="63">
        <v>125</v>
      </c>
      <c r="B129" s="63">
        <v>10</v>
      </c>
      <c r="C129" s="64" t="s">
        <v>39</v>
      </c>
      <c r="D129" s="131" t="s">
        <v>328</v>
      </c>
      <c r="E129" s="84">
        <v>13327.88135143251</v>
      </c>
      <c r="F129" s="77" t="s">
        <v>91</v>
      </c>
      <c r="G129" s="68">
        <v>58720.36</v>
      </c>
      <c r="H129" s="72" t="s">
        <v>97</v>
      </c>
      <c r="I129" s="88" t="s">
        <v>329</v>
      </c>
      <c r="J129" s="132">
        <v>13327.88135143251</v>
      </c>
      <c r="K129" s="132">
        <v>58720.36</v>
      </c>
      <c r="L129" s="133">
        <v>4.4058285373082651</v>
      </c>
      <c r="M129" s="132">
        <v>13326</v>
      </c>
      <c r="N129" s="134">
        <v>0.99985884092280664</v>
      </c>
      <c r="O129" s="132">
        <v>1.8813514325102005</v>
      </c>
      <c r="P129" s="133">
        <v>1.4115907719331464E-4</v>
      </c>
    </row>
    <row r="130" spans="1:16" ht="20.25" customHeight="1">
      <c r="A130" s="63">
        <v>126</v>
      </c>
      <c r="B130" s="63">
        <v>11</v>
      </c>
      <c r="C130" s="64" t="s">
        <v>39</v>
      </c>
      <c r="D130" s="131" t="s">
        <v>330</v>
      </c>
      <c r="E130" s="84">
        <v>2259.7747604169817</v>
      </c>
      <c r="F130" s="78" t="s">
        <v>123</v>
      </c>
      <c r="G130" s="68">
        <v>0</v>
      </c>
      <c r="H130" s="72" t="s">
        <v>126</v>
      </c>
      <c r="I130" s="88" t="s">
        <v>331</v>
      </c>
      <c r="J130" s="132">
        <v>2259.7747604169817</v>
      </c>
      <c r="K130" s="132">
        <v>0</v>
      </c>
      <c r="L130" s="133">
        <v>0</v>
      </c>
      <c r="M130" s="132"/>
      <c r="N130" s="134">
        <v>0</v>
      </c>
      <c r="O130" s="132">
        <v>2259.7747604169817</v>
      </c>
      <c r="P130" s="133">
        <v>1</v>
      </c>
    </row>
    <row r="131" spans="1:16" ht="20.25" customHeight="1">
      <c r="A131" s="63" t="s">
        <v>332</v>
      </c>
      <c r="B131" s="63">
        <v>12</v>
      </c>
      <c r="C131" s="64" t="s">
        <v>39</v>
      </c>
      <c r="D131" s="131" t="s">
        <v>333</v>
      </c>
      <c r="E131" s="84">
        <v>30934.543695174758</v>
      </c>
      <c r="F131" s="77" t="s">
        <v>91</v>
      </c>
      <c r="G131" s="68">
        <v>30934.55</v>
      </c>
      <c r="H131" s="72" t="s">
        <v>92</v>
      </c>
      <c r="I131" s="88" t="s">
        <v>334</v>
      </c>
      <c r="J131" s="132">
        <v>30934.543695174758</v>
      </c>
      <c r="K131" s="132">
        <v>30934.55</v>
      </c>
      <c r="L131" s="133">
        <v>1.0000002038118068</v>
      </c>
      <c r="M131" s="132">
        <v>26817.72219</v>
      </c>
      <c r="N131" s="134">
        <v>0.86691830512383128</v>
      </c>
      <c r="O131" s="132">
        <v>4116.8215051747575</v>
      </c>
      <c r="P131" s="133">
        <v>0.13308169487616878</v>
      </c>
    </row>
    <row r="132" spans="1:16" ht="20.25" customHeight="1">
      <c r="A132" s="63">
        <v>128</v>
      </c>
      <c r="B132" s="63">
        <v>13</v>
      </c>
      <c r="C132" s="64" t="s">
        <v>39</v>
      </c>
      <c r="D132" s="131" t="s">
        <v>335</v>
      </c>
      <c r="E132" s="84">
        <v>97345.594411866899</v>
      </c>
      <c r="F132" s="78" t="s">
        <v>91</v>
      </c>
      <c r="G132" s="68">
        <v>77466.87</v>
      </c>
      <c r="H132" s="72" t="s">
        <v>97</v>
      </c>
      <c r="I132" s="88" t="s">
        <v>336</v>
      </c>
      <c r="J132" s="132">
        <v>97345.594411866899</v>
      </c>
      <c r="K132" s="132">
        <v>77466.87</v>
      </c>
      <c r="L132" s="133">
        <v>0.79579225406174525</v>
      </c>
      <c r="M132" s="132">
        <v>63197.503519999998</v>
      </c>
      <c r="N132" s="134">
        <v>0.64920763904951739</v>
      </c>
      <c r="O132" s="132">
        <v>34148.090891866901</v>
      </c>
      <c r="P132" s="133">
        <v>0.35079236095048266</v>
      </c>
    </row>
    <row r="133" spans="1:16" ht="20.25" customHeight="1">
      <c r="A133" s="63">
        <v>129</v>
      </c>
      <c r="B133" s="63">
        <v>14</v>
      </c>
      <c r="C133" s="64" t="s">
        <v>39</v>
      </c>
      <c r="D133" s="131" t="s">
        <v>337</v>
      </c>
      <c r="E133" s="84">
        <v>3837.0460457090276</v>
      </c>
      <c r="F133" s="77" t="s">
        <v>123</v>
      </c>
      <c r="G133" s="68"/>
      <c r="H133" s="72" t="s">
        <v>116</v>
      </c>
      <c r="I133" s="88" t="s">
        <v>338</v>
      </c>
      <c r="J133" s="132">
        <v>3837.0460457090276</v>
      </c>
      <c r="K133" s="132"/>
      <c r="L133" s="133">
        <v>0</v>
      </c>
      <c r="M133" s="132"/>
      <c r="N133" s="134">
        <v>0</v>
      </c>
      <c r="O133" s="132">
        <v>3837.0460457090276</v>
      </c>
      <c r="P133" s="133">
        <v>1</v>
      </c>
    </row>
    <row r="134" spans="1:16" ht="20.25" customHeight="1">
      <c r="A134" s="63">
        <v>130</v>
      </c>
      <c r="B134" s="63">
        <v>15</v>
      </c>
      <c r="C134" s="64" t="s">
        <v>39</v>
      </c>
      <c r="D134" s="131" t="s">
        <v>339</v>
      </c>
      <c r="E134" s="84">
        <v>7178.015909517605</v>
      </c>
      <c r="F134" s="78" t="s">
        <v>91</v>
      </c>
      <c r="G134" s="68">
        <v>8710</v>
      </c>
      <c r="H134" s="72" t="s">
        <v>116</v>
      </c>
      <c r="I134" s="88" t="s">
        <v>265</v>
      </c>
      <c r="J134" s="132">
        <v>7178.015909517605</v>
      </c>
      <c r="K134" s="132">
        <v>8710</v>
      </c>
      <c r="L134" s="133">
        <v>1.2134272352964666</v>
      </c>
      <c r="M134" s="132">
        <v>5757.2543889999997</v>
      </c>
      <c r="N134" s="134">
        <v>0.80206765512545553</v>
      </c>
      <c r="O134" s="132">
        <v>1420.7615205176053</v>
      </c>
      <c r="P134" s="133">
        <v>0.19793234487454442</v>
      </c>
    </row>
    <row r="135" spans="1:16" ht="20.25" customHeight="1">
      <c r="A135" s="63">
        <v>131</v>
      </c>
      <c r="B135" s="63">
        <v>16</v>
      </c>
      <c r="C135" s="64" t="s">
        <v>39</v>
      </c>
      <c r="D135" s="131" t="s">
        <v>340</v>
      </c>
      <c r="E135" s="84">
        <v>59522.132234532728</v>
      </c>
      <c r="F135" s="77" t="s">
        <v>91</v>
      </c>
      <c r="G135" s="68">
        <v>165498</v>
      </c>
      <c r="H135" s="72" t="s">
        <v>116</v>
      </c>
      <c r="I135" s="88" t="s">
        <v>289</v>
      </c>
      <c r="J135" s="132">
        <v>59522.132234532728</v>
      </c>
      <c r="K135" s="132">
        <v>165498</v>
      </c>
      <c r="L135" s="133">
        <v>2.7804447486507153</v>
      </c>
      <c r="M135" s="132">
        <v>55850</v>
      </c>
      <c r="N135" s="134">
        <v>0.93830644003034758</v>
      </c>
      <c r="O135" s="132">
        <v>3672.132234532728</v>
      </c>
      <c r="P135" s="133">
        <v>6.1693559969652451E-2</v>
      </c>
    </row>
    <row r="136" spans="1:16" ht="20.25" customHeight="1">
      <c r="A136" s="63">
        <v>132</v>
      </c>
      <c r="B136" s="63">
        <v>17</v>
      </c>
      <c r="C136" s="62" t="s">
        <v>39</v>
      </c>
      <c r="D136" s="131" t="s">
        <v>341</v>
      </c>
      <c r="E136" s="66">
        <v>3691.2151736351102</v>
      </c>
      <c r="F136" s="78" t="s">
        <v>123</v>
      </c>
      <c r="G136" s="68"/>
      <c r="H136" s="72" t="s">
        <v>116</v>
      </c>
      <c r="I136" s="88" t="s">
        <v>151</v>
      </c>
      <c r="J136" s="132">
        <v>3691.2151736351102</v>
      </c>
      <c r="K136" s="132"/>
      <c r="L136" s="133">
        <v>0</v>
      </c>
      <c r="M136" s="132"/>
      <c r="N136" s="134">
        <v>0</v>
      </c>
      <c r="O136" s="132">
        <v>3691.2151736351102</v>
      </c>
      <c r="P136" s="133">
        <v>1</v>
      </c>
    </row>
    <row r="137" spans="1:16" ht="20.25" customHeight="1">
      <c r="A137" s="63">
        <v>133</v>
      </c>
      <c r="B137" s="63">
        <v>1</v>
      </c>
      <c r="C137" s="64" t="s">
        <v>42</v>
      </c>
      <c r="D137" s="131" t="s">
        <v>342</v>
      </c>
      <c r="E137" s="84">
        <v>2440.2012506995979</v>
      </c>
      <c r="F137" s="77" t="s">
        <v>104</v>
      </c>
      <c r="G137" s="68">
        <v>2925</v>
      </c>
      <c r="H137" s="72" t="s">
        <v>97</v>
      </c>
      <c r="I137" s="88" t="s">
        <v>343</v>
      </c>
      <c r="J137" s="132">
        <v>2440.2012506995979</v>
      </c>
      <c r="K137" s="132">
        <v>2925</v>
      </c>
      <c r="L137" s="133">
        <v>1.1986716256134251</v>
      </c>
      <c r="M137" s="132"/>
      <c r="N137" s="134">
        <v>0</v>
      </c>
      <c r="O137" s="132">
        <v>2440.2012506995979</v>
      </c>
      <c r="P137" s="133">
        <v>1</v>
      </c>
    </row>
    <row r="138" spans="1:16" ht="20.25" customHeight="1">
      <c r="A138" s="63">
        <v>134</v>
      </c>
      <c r="B138" s="63">
        <v>2</v>
      </c>
      <c r="C138" s="64" t="s">
        <v>42</v>
      </c>
      <c r="D138" s="131" t="s">
        <v>344</v>
      </c>
      <c r="E138" s="84">
        <v>2679.9560399283041</v>
      </c>
      <c r="F138" s="78" t="s">
        <v>91</v>
      </c>
      <c r="G138" s="68">
        <v>2701.78</v>
      </c>
      <c r="H138" s="72" t="s">
        <v>92</v>
      </c>
      <c r="I138" s="88" t="s">
        <v>345</v>
      </c>
      <c r="J138" s="132">
        <v>2679.9560399283041</v>
      </c>
      <c r="K138" s="132">
        <v>2701.78</v>
      </c>
      <c r="L138" s="133">
        <v>1.0081434022597924</v>
      </c>
      <c r="M138" s="135"/>
      <c r="N138" s="134">
        <v>0</v>
      </c>
      <c r="O138" s="132">
        <v>2679.9560399283041</v>
      </c>
      <c r="P138" s="133">
        <v>1</v>
      </c>
    </row>
    <row r="139" spans="1:16" ht="20.25" customHeight="1">
      <c r="A139" s="63">
        <v>135</v>
      </c>
      <c r="B139" s="63">
        <v>3</v>
      </c>
      <c r="C139" s="64" t="s">
        <v>42</v>
      </c>
      <c r="D139" s="131" t="s">
        <v>346</v>
      </c>
      <c r="E139" s="66">
        <v>13556.734387990884</v>
      </c>
      <c r="F139" s="77" t="s">
        <v>104</v>
      </c>
      <c r="G139" s="68">
        <v>35000</v>
      </c>
      <c r="H139" s="72" t="s">
        <v>92</v>
      </c>
      <c r="I139" s="88" t="s">
        <v>347</v>
      </c>
      <c r="J139" s="132">
        <v>13556.734387990884</v>
      </c>
      <c r="K139" s="132">
        <v>35000</v>
      </c>
      <c r="L139" s="133">
        <v>2.5817426968993691</v>
      </c>
      <c r="M139" s="132"/>
      <c r="N139" s="134">
        <v>0</v>
      </c>
      <c r="O139" s="132">
        <v>13556.734387990884</v>
      </c>
      <c r="P139" s="133">
        <v>1</v>
      </c>
    </row>
    <row r="140" spans="1:16" ht="20.25" customHeight="1">
      <c r="A140" s="63">
        <v>136</v>
      </c>
      <c r="B140" s="63">
        <v>4</v>
      </c>
      <c r="C140" s="64" t="s">
        <v>42</v>
      </c>
      <c r="D140" s="131" t="s">
        <v>348</v>
      </c>
      <c r="E140" s="66">
        <v>250.39411614609301</v>
      </c>
      <c r="F140" s="78" t="s">
        <v>91</v>
      </c>
      <c r="G140" s="68">
        <v>391.8</v>
      </c>
      <c r="H140" s="72" t="s">
        <v>126</v>
      </c>
      <c r="I140" s="88" t="s">
        <v>349</v>
      </c>
      <c r="J140" s="132">
        <v>250.39411614609301</v>
      </c>
      <c r="K140" s="132">
        <v>391.8</v>
      </c>
      <c r="L140" s="133">
        <v>1.5647332534419596</v>
      </c>
      <c r="M140" s="132">
        <v>162</v>
      </c>
      <c r="N140" s="134">
        <v>0.64698005885042731</v>
      </c>
      <c r="O140" s="132">
        <v>88.394116146093012</v>
      </c>
      <c r="P140" s="133">
        <v>0.35301994114957264</v>
      </c>
    </row>
    <row r="141" spans="1:16" ht="20.25" customHeight="1">
      <c r="A141" s="63">
        <v>137</v>
      </c>
      <c r="B141" s="63">
        <v>5</v>
      </c>
      <c r="C141" s="64" t="s">
        <v>42</v>
      </c>
      <c r="D141" s="131" t="s">
        <v>350</v>
      </c>
      <c r="E141" s="66">
        <v>983.45353349965865</v>
      </c>
      <c r="F141" s="77" t="s">
        <v>91</v>
      </c>
      <c r="G141" s="68">
        <v>1260</v>
      </c>
      <c r="H141" s="72" t="s">
        <v>126</v>
      </c>
      <c r="I141" s="88" t="s">
        <v>351</v>
      </c>
      <c r="J141" s="132">
        <v>983.45353349965865</v>
      </c>
      <c r="K141" s="132">
        <v>1260</v>
      </c>
      <c r="L141" s="133">
        <v>1.2811993216560418</v>
      </c>
      <c r="M141" s="132">
        <v>924</v>
      </c>
      <c r="N141" s="134">
        <v>0.93954616921443057</v>
      </c>
      <c r="O141" s="132">
        <v>59.453533499658647</v>
      </c>
      <c r="P141" s="133">
        <v>6.0453830785569374E-2</v>
      </c>
    </row>
    <row r="142" spans="1:16" ht="20.25" customHeight="1">
      <c r="A142" s="63">
        <v>138</v>
      </c>
      <c r="B142" s="63">
        <v>6</v>
      </c>
      <c r="C142" s="64" t="s">
        <v>42</v>
      </c>
      <c r="D142" s="131" t="s">
        <v>352</v>
      </c>
      <c r="E142" s="66">
        <v>2491.5246161459195</v>
      </c>
      <c r="F142" s="78" t="s">
        <v>104</v>
      </c>
      <c r="G142" s="68">
        <v>3042</v>
      </c>
      <c r="H142" s="72" t="s">
        <v>116</v>
      </c>
      <c r="I142" s="88" t="s">
        <v>353</v>
      </c>
      <c r="J142" s="132">
        <v>2491.5246161459195</v>
      </c>
      <c r="K142" s="132">
        <v>3042</v>
      </c>
      <c r="L142" s="133">
        <v>1.2209391712555495</v>
      </c>
      <c r="M142" s="132"/>
      <c r="N142" s="134">
        <v>0</v>
      </c>
      <c r="O142" s="132">
        <v>2491.5246161459195</v>
      </c>
      <c r="P142" s="133">
        <v>1</v>
      </c>
    </row>
    <row r="143" spans="1:16" ht="20.25" customHeight="1">
      <c r="A143" s="63">
        <v>139</v>
      </c>
      <c r="B143" s="63">
        <v>7</v>
      </c>
      <c r="C143" s="64" t="s">
        <v>42</v>
      </c>
      <c r="D143" s="131" t="s">
        <v>354</v>
      </c>
      <c r="E143" s="66">
        <v>0</v>
      </c>
      <c r="F143" s="77" t="s">
        <v>123</v>
      </c>
      <c r="G143" s="68"/>
      <c r="H143" s="72" t="s">
        <v>116</v>
      </c>
      <c r="I143" s="88" t="s">
        <v>315</v>
      </c>
      <c r="J143" s="132">
        <v>0</v>
      </c>
      <c r="K143" s="132"/>
      <c r="L143" s="133" t="s">
        <v>394</v>
      </c>
      <c r="M143" s="132"/>
      <c r="N143" s="134" t="s">
        <v>394</v>
      </c>
      <c r="O143" s="132">
        <v>0</v>
      </c>
      <c r="P143" s="133" t="s">
        <v>394</v>
      </c>
    </row>
    <row r="144" spans="1:16" ht="20.25" customHeight="1">
      <c r="A144" s="63">
        <v>140</v>
      </c>
      <c r="B144" s="63">
        <v>1</v>
      </c>
      <c r="C144" s="87" t="s">
        <v>41</v>
      </c>
      <c r="D144" s="137" t="s">
        <v>355</v>
      </c>
      <c r="E144" s="68">
        <v>619.31805317539499</v>
      </c>
      <c r="F144" s="78" t="s">
        <v>91</v>
      </c>
      <c r="G144" s="68">
        <v>186</v>
      </c>
      <c r="H144" s="72" t="s">
        <v>116</v>
      </c>
      <c r="I144" s="88" t="s">
        <v>218</v>
      </c>
      <c r="J144" s="132">
        <v>619.31805317539499</v>
      </c>
      <c r="K144" s="132">
        <v>186</v>
      </c>
      <c r="L144" s="133">
        <v>0.30033033761301248</v>
      </c>
      <c r="M144" s="132">
        <v>181</v>
      </c>
      <c r="N144" s="134">
        <v>0.2922569414406197</v>
      </c>
      <c r="O144" s="132">
        <v>438.31805317539499</v>
      </c>
      <c r="P144" s="133">
        <v>0.70774305855938036</v>
      </c>
    </row>
    <row r="145" spans="1:16" ht="20.25" customHeight="1">
      <c r="A145" s="63">
        <v>141</v>
      </c>
      <c r="B145" s="63">
        <v>2</v>
      </c>
      <c r="C145" s="87" t="s">
        <v>41</v>
      </c>
      <c r="D145" s="137" t="s">
        <v>356</v>
      </c>
      <c r="E145" s="68">
        <v>2947.9016841234907</v>
      </c>
      <c r="F145" s="77" t="s">
        <v>91</v>
      </c>
      <c r="G145" s="68">
        <v>1568</v>
      </c>
      <c r="H145" s="72" t="s">
        <v>116</v>
      </c>
      <c r="I145" s="88" t="s">
        <v>220</v>
      </c>
      <c r="J145" s="132">
        <v>2947.9016841234907</v>
      </c>
      <c r="K145" s="132">
        <v>1568</v>
      </c>
      <c r="L145" s="133">
        <v>0.53190376342765266</v>
      </c>
      <c r="M145" s="132">
        <v>1480.9956090000001</v>
      </c>
      <c r="N145" s="134">
        <v>0.50238975640747985</v>
      </c>
      <c r="O145" s="132">
        <v>1466.9060751234906</v>
      </c>
      <c r="P145" s="133">
        <v>0.49761024359252015</v>
      </c>
    </row>
    <row r="146" spans="1:16" ht="20.25" customHeight="1">
      <c r="A146" s="63">
        <v>142</v>
      </c>
      <c r="B146" s="63">
        <v>3</v>
      </c>
      <c r="C146" s="87" t="s">
        <v>41</v>
      </c>
      <c r="D146" s="137" t="s">
        <v>357</v>
      </c>
      <c r="E146" s="68">
        <v>10464.649513911036</v>
      </c>
      <c r="F146" s="78" t="s">
        <v>91</v>
      </c>
      <c r="G146" s="68">
        <v>10181.529999999999</v>
      </c>
      <c r="H146" s="72" t="s">
        <v>126</v>
      </c>
      <c r="I146" s="88" t="s">
        <v>265</v>
      </c>
      <c r="J146" s="132">
        <v>10464.649513911036</v>
      </c>
      <c r="K146" s="132">
        <v>10181.529999999999</v>
      </c>
      <c r="L146" s="133">
        <v>0.97294515085912092</v>
      </c>
      <c r="M146" s="132">
        <v>8966</v>
      </c>
      <c r="N146" s="134">
        <v>0.85678932563208865</v>
      </c>
      <c r="O146" s="132">
        <v>1498.6495139110357</v>
      </c>
      <c r="P146" s="133">
        <v>0.14321067436791141</v>
      </c>
    </row>
    <row r="147" spans="1:16" ht="20.25" customHeight="1">
      <c r="A147" s="63">
        <v>143</v>
      </c>
      <c r="B147" s="63">
        <v>4</v>
      </c>
      <c r="C147" s="87" t="s">
        <v>41</v>
      </c>
      <c r="D147" s="137" t="s">
        <v>358</v>
      </c>
      <c r="E147" s="68">
        <v>38687.988742741414</v>
      </c>
      <c r="F147" s="77" t="s">
        <v>91</v>
      </c>
      <c r="G147" s="68">
        <v>41575</v>
      </c>
      <c r="H147" s="72" t="s">
        <v>126</v>
      </c>
      <c r="I147" s="88" t="s">
        <v>359</v>
      </c>
      <c r="J147" s="132">
        <v>38687.988742741414</v>
      </c>
      <c r="K147" s="132">
        <v>41575</v>
      </c>
      <c r="L147" s="133">
        <v>1.0746229346905567</v>
      </c>
      <c r="M147" s="132">
        <v>36478</v>
      </c>
      <c r="N147" s="134">
        <v>0.94287661843997905</v>
      </c>
      <c r="O147" s="132">
        <v>2209.9887427414142</v>
      </c>
      <c r="P147" s="133">
        <v>5.7123381560020982E-2</v>
      </c>
    </row>
    <row r="148" spans="1:16" ht="20.25" customHeight="1">
      <c r="A148" s="63">
        <v>144</v>
      </c>
      <c r="B148" s="63">
        <v>5</v>
      </c>
      <c r="C148" s="87" t="s">
        <v>41</v>
      </c>
      <c r="D148" s="137" t="s">
        <v>360</v>
      </c>
      <c r="E148" s="68">
        <v>79664.170513390025</v>
      </c>
      <c r="F148" s="78" t="s">
        <v>104</v>
      </c>
      <c r="G148" s="68">
        <v>61589</v>
      </c>
      <c r="H148" s="72" t="s">
        <v>116</v>
      </c>
      <c r="I148" s="88" t="s">
        <v>361</v>
      </c>
      <c r="J148" s="132">
        <v>79664.170513390025</v>
      </c>
      <c r="K148" s="132">
        <v>61589</v>
      </c>
      <c r="L148" s="133">
        <v>0.77310790538700291</v>
      </c>
      <c r="M148" s="132"/>
      <c r="N148" s="134">
        <v>0</v>
      </c>
      <c r="O148" s="132">
        <v>79664.170513390025</v>
      </c>
      <c r="P148" s="133">
        <v>1</v>
      </c>
    </row>
    <row r="149" spans="1:16" ht="20.25" customHeight="1">
      <c r="A149" s="63">
        <v>145</v>
      </c>
      <c r="B149" s="63">
        <v>6</v>
      </c>
      <c r="C149" s="87" t="s">
        <v>41</v>
      </c>
      <c r="D149" s="137" t="s">
        <v>362</v>
      </c>
      <c r="E149" s="68">
        <v>58592.125143821191</v>
      </c>
      <c r="F149" s="77" t="s">
        <v>91</v>
      </c>
      <c r="G149" s="68">
        <v>59173.24</v>
      </c>
      <c r="H149" s="72" t="s">
        <v>97</v>
      </c>
      <c r="I149" s="88" t="s">
        <v>363</v>
      </c>
      <c r="J149" s="132">
        <v>58592.125143821191</v>
      </c>
      <c r="K149" s="132">
        <v>59173.24</v>
      </c>
      <c r="L149" s="133">
        <v>1.0099179685794362</v>
      </c>
      <c r="M149" s="132">
        <v>56602.28776769156</v>
      </c>
      <c r="N149" s="134">
        <v>0.96603916701697812</v>
      </c>
      <c r="O149" s="132">
        <v>1989.8373761296316</v>
      </c>
      <c r="P149" s="133">
        <v>3.3960832983021938E-2</v>
      </c>
    </row>
    <row r="150" spans="1:16" ht="20.25" customHeight="1">
      <c r="A150" s="63">
        <v>146</v>
      </c>
      <c r="B150" s="63">
        <v>7</v>
      </c>
      <c r="C150" s="87" t="s">
        <v>41</v>
      </c>
      <c r="D150" s="137" t="s">
        <v>364</v>
      </c>
      <c r="E150" s="68">
        <v>14972.919560100783</v>
      </c>
      <c r="F150" s="78" t="s">
        <v>91</v>
      </c>
      <c r="G150" s="68">
        <v>14282.55</v>
      </c>
      <c r="H150" s="72" t="s">
        <v>97</v>
      </c>
      <c r="I150" s="88" t="s">
        <v>365</v>
      </c>
      <c r="J150" s="132">
        <v>14972.919560100783</v>
      </c>
      <c r="K150" s="132">
        <v>14282.55</v>
      </c>
      <c r="L150" s="133">
        <v>0.95389212121726397</v>
      </c>
      <c r="M150" s="132">
        <v>13483.753009252363</v>
      </c>
      <c r="N150" s="134">
        <v>0.90054267339973626</v>
      </c>
      <c r="O150" s="132">
        <v>1489.1665508484202</v>
      </c>
      <c r="P150" s="133">
        <v>9.9457326600263699E-2</v>
      </c>
    </row>
    <row r="151" spans="1:16" ht="20.25" customHeight="1">
      <c r="A151" s="63">
        <v>147</v>
      </c>
      <c r="B151" s="63">
        <v>8</v>
      </c>
      <c r="C151" s="87" t="s">
        <v>41</v>
      </c>
      <c r="D151" s="137" t="s">
        <v>366</v>
      </c>
      <c r="E151" s="68">
        <v>30611.067848885363</v>
      </c>
      <c r="F151" s="77" t="s">
        <v>91</v>
      </c>
      <c r="G151" s="68">
        <v>29167.08</v>
      </c>
      <c r="H151" s="72" t="s">
        <v>97</v>
      </c>
      <c r="I151" s="88" t="s">
        <v>367</v>
      </c>
      <c r="J151" s="132">
        <v>30611.067848885363</v>
      </c>
      <c r="K151" s="132">
        <v>29167.08</v>
      </c>
      <c r="L151" s="133">
        <v>0.95282791649040954</v>
      </c>
      <c r="M151" s="132">
        <v>24535.364444661438</v>
      </c>
      <c r="N151" s="134">
        <v>0.80151939049571053</v>
      </c>
      <c r="O151" s="132">
        <v>6075.7034042239247</v>
      </c>
      <c r="P151" s="133">
        <v>0.19848060950428942</v>
      </c>
    </row>
    <row r="152" spans="1:16" ht="20.25" customHeight="1">
      <c r="A152" s="63">
        <v>148</v>
      </c>
      <c r="B152" s="63">
        <v>9</v>
      </c>
      <c r="C152" s="87" t="s">
        <v>41</v>
      </c>
      <c r="D152" s="137" t="s">
        <v>368</v>
      </c>
      <c r="E152" s="68">
        <v>13304.536651855067</v>
      </c>
      <c r="F152" s="78" t="s">
        <v>91</v>
      </c>
      <c r="G152" s="68">
        <v>13847</v>
      </c>
      <c r="H152" s="72" t="s">
        <v>116</v>
      </c>
      <c r="I152" s="88" t="s">
        <v>311</v>
      </c>
      <c r="J152" s="132">
        <v>13304.536651855067</v>
      </c>
      <c r="K152" s="132">
        <v>13847</v>
      </c>
      <c r="L152" s="133">
        <v>1.040772810233064</v>
      </c>
      <c r="M152" s="132">
        <v>8430</v>
      </c>
      <c r="N152" s="134">
        <v>0.63361845816889795</v>
      </c>
      <c r="O152" s="132">
        <v>4874.5366518550672</v>
      </c>
      <c r="P152" s="133">
        <v>0.366381541831102</v>
      </c>
    </row>
    <row r="153" spans="1:16" ht="20.25" customHeight="1">
      <c r="A153" s="63">
        <v>149</v>
      </c>
      <c r="B153" s="63">
        <v>10</v>
      </c>
      <c r="C153" s="87" t="s">
        <v>41</v>
      </c>
      <c r="D153" s="137" t="s">
        <v>369</v>
      </c>
      <c r="E153" s="68">
        <v>8587.7008628827771</v>
      </c>
      <c r="F153" s="77" t="s">
        <v>91</v>
      </c>
      <c r="G153" s="68">
        <v>9503.2049999999999</v>
      </c>
      <c r="H153" s="72" t="s">
        <v>92</v>
      </c>
      <c r="I153" s="88" t="s">
        <v>370</v>
      </c>
      <c r="J153" s="132">
        <v>8587.7008628827771</v>
      </c>
      <c r="K153" s="132">
        <v>9503.2049999999999</v>
      </c>
      <c r="L153" s="133">
        <v>1.1066064307239853</v>
      </c>
      <c r="M153" s="132">
        <v>7911.2861884435251</v>
      </c>
      <c r="N153" s="134">
        <v>0.92123448577921374</v>
      </c>
      <c r="O153" s="132">
        <v>676.41467443925194</v>
      </c>
      <c r="P153" s="133">
        <v>7.8765514220786273E-2</v>
      </c>
    </row>
    <row r="154" spans="1:16" ht="20.25" customHeight="1">
      <c r="A154" s="63">
        <v>150</v>
      </c>
      <c r="B154" s="63">
        <v>11</v>
      </c>
      <c r="C154" s="87" t="s">
        <v>41</v>
      </c>
      <c r="D154" s="137" t="s">
        <v>371</v>
      </c>
      <c r="E154" s="68">
        <v>13928.262922905711</v>
      </c>
      <c r="F154" s="78" t="s">
        <v>104</v>
      </c>
      <c r="G154" s="68">
        <v>8145</v>
      </c>
      <c r="H154" s="72" t="s">
        <v>126</v>
      </c>
      <c r="I154" s="88" t="s">
        <v>372</v>
      </c>
      <c r="J154" s="132">
        <v>13928.262922905711</v>
      </c>
      <c r="K154" s="132">
        <v>8145</v>
      </c>
      <c r="L154" s="133">
        <v>0.584782183182739</v>
      </c>
      <c r="M154" s="132"/>
      <c r="N154" s="134">
        <v>0</v>
      </c>
      <c r="O154" s="132">
        <v>13928.262922905711</v>
      </c>
      <c r="P154" s="133">
        <v>1</v>
      </c>
    </row>
    <row r="155" spans="1:16" ht="20.25" customHeight="1">
      <c r="A155" s="63">
        <v>151</v>
      </c>
      <c r="B155" s="63">
        <v>12</v>
      </c>
      <c r="C155" s="87" t="s">
        <v>41</v>
      </c>
      <c r="D155" s="137" t="s">
        <v>373</v>
      </c>
      <c r="E155" s="68">
        <v>16842.671266771627</v>
      </c>
      <c r="F155" s="77" t="s">
        <v>91</v>
      </c>
      <c r="G155" s="68">
        <v>17767.77</v>
      </c>
      <c r="H155" s="72" t="s">
        <v>97</v>
      </c>
      <c r="I155" s="88" t="s">
        <v>374</v>
      </c>
      <c r="J155" s="132">
        <v>16842.671266771627</v>
      </c>
      <c r="K155" s="132">
        <v>17767.77</v>
      </c>
      <c r="L155" s="133">
        <v>1.0549258914204109</v>
      </c>
      <c r="M155" s="132">
        <v>14997.692529651549</v>
      </c>
      <c r="N155" s="134">
        <v>0.89045806880052458</v>
      </c>
      <c r="O155" s="132">
        <v>1844.9787371200782</v>
      </c>
      <c r="P155" s="133">
        <v>0.10954193119947536</v>
      </c>
    </row>
    <row r="156" spans="1:16" ht="20.25" customHeight="1">
      <c r="A156" s="63">
        <v>152</v>
      </c>
      <c r="B156" s="63">
        <v>13</v>
      </c>
      <c r="C156" s="87" t="s">
        <v>41</v>
      </c>
      <c r="D156" s="137" t="s">
        <v>375</v>
      </c>
      <c r="E156" s="68">
        <v>6996.6396211568263</v>
      </c>
      <c r="F156" s="78" t="s">
        <v>91</v>
      </c>
      <c r="G156" s="68">
        <v>14906.96</v>
      </c>
      <c r="H156" s="72" t="s">
        <v>126</v>
      </c>
      <c r="I156" s="88" t="s">
        <v>376</v>
      </c>
      <c r="J156" s="132">
        <v>6996.6396211568263</v>
      </c>
      <c r="K156" s="132">
        <v>14906.96</v>
      </c>
      <c r="L156" s="133">
        <v>2.1305885120799286</v>
      </c>
      <c r="M156" s="132">
        <v>6670</v>
      </c>
      <c r="N156" s="134">
        <v>0.95331478554803428</v>
      </c>
      <c r="O156" s="132">
        <v>326.63962115682625</v>
      </c>
      <c r="P156" s="133">
        <v>4.6685214451965669E-2</v>
      </c>
    </row>
    <row r="157" spans="1:16" ht="20.25" customHeight="1">
      <c r="A157" s="63">
        <v>153</v>
      </c>
      <c r="B157" s="63">
        <v>14</v>
      </c>
      <c r="C157" s="87" t="s">
        <v>41</v>
      </c>
      <c r="D157" s="137" t="s">
        <v>377</v>
      </c>
      <c r="E157" s="68">
        <v>51094.783206630214</v>
      </c>
      <c r="F157" s="77" t="s">
        <v>91</v>
      </c>
      <c r="G157" s="68">
        <v>49035.4</v>
      </c>
      <c r="H157" s="72" t="s">
        <v>97</v>
      </c>
      <c r="I157" s="88" t="s">
        <v>378</v>
      </c>
      <c r="J157" s="132">
        <v>51094.783206630214</v>
      </c>
      <c r="K157" s="132">
        <v>49035.4</v>
      </c>
      <c r="L157" s="133">
        <v>0.95969484402542726</v>
      </c>
      <c r="M157" s="132">
        <v>47800.233566455274</v>
      </c>
      <c r="N157" s="134">
        <v>0.93552082162964478</v>
      </c>
      <c r="O157" s="132">
        <v>3294.5496401749406</v>
      </c>
      <c r="P157" s="133">
        <v>6.4479178370355231E-2</v>
      </c>
    </row>
    <row r="158" spans="1:16" ht="20.25" customHeight="1">
      <c r="A158" s="63">
        <v>154</v>
      </c>
      <c r="B158" s="63">
        <v>15</v>
      </c>
      <c r="C158" s="87" t="s">
        <v>41</v>
      </c>
      <c r="D158" s="137" t="s">
        <v>379</v>
      </c>
      <c r="E158" s="68">
        <v>14384.178115462275</v>
      </c>
      <c r="F158" s="78" t="s">
        <v>104</v>
      </c>
      <c r="G158" s="68">
        <v>26284</v>
      </c>
      <c r="H158" s="72" t="s">
        <v>126</v>
      </c>
      <c r="I158" s="88" t="s">
        <v>380</v>
      </c>
      <c r="J158" s="132">
        <v>14384.178115462275</v>
      </c>
      <c r="K158" s="132">
        <v>26284</v>
      </c>
      <c r="L158" s="133">
        <v>1.827285493061714</v>
      </c>
      <c r="M158" s="132"/>
      <c r="N158" s="134">
        <v>0</v>
      </c>
      <c r="O158" s="132">
        <v>14384.178115462275</v>
      </c>
      <c r="P158" s="133">
        <v>1</v>
      </c>
    </row>
    <row r="159" spans="1:16" ht="20.25" customHeight="1">
      <c r="A159" s="63">
        <v>155</v>
      </c>
      <c r="B159" s="63">
        <v>1</v>
      </c>
      <c r="C159" s="62" t="s">
        <v>44</v>
      </c>
      <c r="D159" s="131" t="s">
        <v>381</v>
      </c>
      <c r="E159" s="66">
        <v>1690.7821386697183</v>
      </c>
      <c r="F159" s="77" t="s">
        <v>91</v>
      </c>
      <c r="G159" s="68">
        <v>469</v>
      </c>
      <c r="H159" s="72" t="s">
        <v>116</v>
      </c>
      <c r="I159" s="88" t="s">
        <v>262</v>
      </c>
      <c r="J159" s="132">
        <v>1690.7821386697183</v>
      </c>
      <c r="K159" s="132">
        <v>469</v>
      </c>
      <c r="L159" s="133">
        <v>0.27738641737072173</v>
      </c>
      <c r="M159" s="132">
        <v>271</v>
      </c>
      <c r="N159" s="134">
        <v>0.16028085097540637</v>
      </c>
      <c r="O159" s="132">
        <v>1419.7821386697183</v>
      </c>
      <c r="P159" s="133">
        <v>0.83971914902459366</v>
      </c>
    </row>
    <row r="160" spans="1:16" ht="20.25" customHeight="1">
      <c r="A160" s="63">
        <v>156</v>
      </c>
      <c r="B160" s="63">
        <v>2</v>
      </c>
      <c r="C160" s="62" t="s">
        <v>44</v>
      </c>
      <c r="D160" s="131" t="s">
        <v>382</v>
      </c>
      <c r="E160" s="66">
        <v>8475.3453568485402</v>
      </c>
      <c r="F160" s="78" t="s">
        <v>91</v>
      </c>
      <c r="G160" s="68">
        <v>3054</v>
      </c>
      <c r="H160" s="72" t="s">
        <v>116</v>
      </c>
      <c r="I160" s="88" t="s">
        <v>248</v>
      </c>
      <c r="J160" s="132">
        <v>8475.3453568485402</v>
      </c>
      <c r="K160" s="132">
        <v>3054</v>
      </c>
      <c r="L160" s="133">
        <v>0.36033929844902446</v>
      </c>
      <c r="M160" s="132">
        <v>2888</v>
      </c>
      <c r="N160" s="134">
        <v>0.34075307594000742</v>
      </c>
      <c r="O160" s="132">
        <v>5587.3453568485402</v>
      </c>
      <c r="P160" s="133">
        <v>0.65924692405999252</v>
      </c>
    </row>
    <row r="161" spans="1:16" ht="20.25" customHeight="1">
      <c r="A161" s="63">
        <v>157</v>
      </c>
      <c r="B161" s="63">
        <v>3</v>
      </c>
      <c r="C161" s="62" t="s">
        <v>44</v>
      </c>
      <c r="D161" s="131" t="s">
        <v>383</v>
      </c>
      <c r="E161" s="66">
        <v>1142.6688342999996</v>
      </c>
      <c r="F161" s="77" t="s">
        <v>123</v>
      </c>
      <c r="G161" s="68">
        <v>0</v>
      </c>
      <c r="H161" s="72" t="s">
        <v>116</v>
      </c>
      <c r="I161" s="88" t="s">
        <v>311</v>
      </c>
      <c r="J161" s="132">
        <v>1142.6688342999996</v>
      </c>
      <c r="K161" s="132">
        <v>0</v>
      </c>
      <c r="L161" s="133">
        <v>0</v>
      </c>
      <c r="M161" s="132"/>
      <c r="N161" s="134">
        <v>0</v>
      </c>
      <c r="O161" s="132">
        <v>1142.6688342999996</v>
      </c>
      <c r="P161" s="133">
        <v>1</v>
      </c>
    </row>
    <row r="162" spans="1:16" ht="20.25" customHeight="1">
      <c r="A162" s="63">
        <v>158</v>
      </c>
      <c r="B162" s="63">
        <v>4</v>
      </c>
      <c r="C162" s="62" t="s">
        <v>44</v>
      </c>
      <c r="D162" s="131" t="s">
        <v>384</v>
      </c>
      <c r="E162" s="66">
        <v>238.12782510000002</v>
      </c>
      <c r="F162" s="78" t="s">
        <v>123</v>
      </c>
      <c r="G162" s="68">
        <v>0</v>
      </c>
      <c r="H162" s="72" t="s">
        <v>116</v>
      </c>
      <c r="I162" s="88" t="s">
        <v>385</v>
      </c>
      <c r="J162" s="132">
        <v>238.12782510000002</v>
      </c>
      <c r="K162" s="132">
        <v>0</v>
      </c>
      <c r="L162" s="133">
        <v>0</v>
      </c>
      <c r="M162" s="132"/>
      <c r="N162" s="134">
        <v>0</v>
      </c>
      <c r="O162" s="132">
        <v>238.12782510000002</v>
      </c>
      <c r="P162" s="133">
        <v>1</v>
      </c>
    </row>
    <row r="163" spans="1:16" ht="20.25" customHeight="1">
      <c r="A163" s="63">
        <v>159</v>
      </c>
      <c r="B163" s="63">
        <v>5</v>
      </c>
      <c r="C163" s="62" t="s">
        <v>44</v>
      </c>
      <c r="D163" s="131" t="s">
        <v>386</v>
      </c>
      <c r="E163" s="66">
        <v>51296.922502830173</v>
      </c>
      <c r="F163" s="77" t="s">
        <v>91</v>
      </c>
      <c r="G163" s="68">
        <v>28010</v>
      </c>
      <c r="H163" s="72" t="s">
        <v>116</v>
      </c>
      <c r="I163" s="88" t="s">
        <v>387</v>
      </c>
      <c r="J163" s="132">
        <v>51296.922502830173</v>
      </c>
      <c r="K163" s="132">
        <v>28010</v>
      </c>
      <c r="L163" s="133">
        <v>0.54603665548268754</v>
      </c>
      <c r="M163" s="132">
        <v>28009.342264999999</v>
      </c>
      <c r="N163" s="134">
        <v>0.54602383336845706</v>
      </c>
      <c r="O163" s="132">
        <v>23287.580237830174</v>
      </c>
      <c r="P163" s="133">
        <v>0.45397616663154289</v>
      </c>
    </row>
    <row r="164" spans="1:16" ht="20.25" customHeight="1">
      <c r="A164" s="63">
        <v>160</v>
      </c>
      <c r="B164" s="63">
        <v>6</v>
      </c>
      <c r="C164" s="62" t="s">
        <v>44</v>
      </c>
      <c r="D164" s="131" t="s">
        <v>388</v>
      </c>
      <c r="E164" s="66">
        <v>52640.031897197441</v>
      </c>
      <c r="F164" s="78" t="s">
        <v>91</v>
      </c>
      <c r="G164" s="68">
        <v>45755</v>
      </c>
      <c r="H164" s="72" t="s">
        <v>116</v>
      </c>
      <c r="I164" s="88" t="s">
        <v>389</v>
      </c>
      <c r="J164" s="132">
        <v>52640.031897197441</v>
      </c>
      <c r="K164" s="132">
        <v>45755</v>
      </c>
      <c r="L164" s="133">
        <v>0.86920540035683369</v>
      </c>
      <c r="M164" s="132">
        <v>45775.787179999999</v>
      </c>
      <c r="N164" s="134">
        <v>0.8696002933546304</v>
      </c>
      <c r="O164" s="132">
        <v>6864.2447171974418</v>
      </c>
      <c r="P164" s="133">
        <v>0.13039970664536954</v>
      </c>
    </row>
    <row r="165" spans="1:16" ht="20.25" customHeight="1">
      <c r="A165" s="63">
        <v>161</v>
      </c>
      <c r="B165" s="63">
        <v>7</v>
      </c>
      <c r="C165" s="62" t="s">
        <v>44</v>
      </c>
      <c r="D165" s="131" t="s">
        <v>390</v>
      </c>
      <c r="E165" s="66">
        <v>49462.563132418974</v>
      </c>
      <c r="F165" s="77" t="s">
        <v>91</v>
      </c>
      <c r="G165" s="68">
        <v>32229.350000000002</v>
      </c>
      <c r="H165" s="72" t="s">
        <v>116</v>
      </c>
      <c r="I165" s="88" t="s">
        <v>155</v>
      </c>
      <c r="J165" s="132">
        <v>49462.563132418974</v>
      </c>
      <c r="K165" s="132">
        <v>32229.350000000002</v>
      </c>
      <c r="L165" s="133">
        <v>0.65159077813491018</v>
      </c>
      <c r="M165" s="132">
        <v>26366.877662999999</v>
      </c>
      <c r="N165" s="134">
        <v>0.53306735424146479</v>
      </c>
      <c r="O165" s="132">
        <v>23095.685469418975</v>
      </c>
      <c r="P165" s="133">
        <v>0.46693264575853527</v>
      </c>
    </row>
    <row r="166" spans="1:16" ht="20.25" customHeight="1">
      <c r="A166" s="63">
        <v>162</v>
      </c>
      <c r="B166" s="63">
        <v>8</v>
      </c>
      <c r="C166" s="62" t="s">
        <v>44</v>
      </c>
      <c r="D166" s="131" t="s">
        <v>391</v>
      </c>
      <c r="E166" s="66">
        <v>39388.534703362435</v>
      </c>
      <c r="F166" s="78" t="s">
        <v>91</v>
      </c>
      <c r="G166" s="68">
        <v>13931</v>
      </c>
      <c r="H166" s="72" t="s">
        <v>116</v>
      </c>
      <c r="I166" s="88" t="s">
        <v>392</v>
      </c>
      <c r="J166" s="132">
        <v>39388.534703362435</v>
      </c>
      <c r="K166" s="132">
        <v>13931</v>
      </c>
      <c r="L166" s="133">
        <v>0.35368160062097381</v>
      </c>
      <c r="M166" s="132">
        <v>12906</v>
      </c>
      <c r="N166" s="134">
        <v>0.3276587996277574</v>
      </c>
      <c r="O166" s="132">
        <v>26482.534703362435</v>
      </c>
      <c r="P166" s="133">
        <v>0.67234120037224265</v>
      </c>
    </row>
    <row r="167" spans="1:16" ht="18.75" customHeight="1">
      <c r="A167" s="63">
        <v>163</v>
      </c>
      <c r="B167" s="63">
        <v>1</v>
      </c>
      <c r="C167" s="62" t="s">
        <v>45</v>
      </c>
      <c r="D167" s="131" t="s">
        <v>393</v>
      </c>
      <c r="E167" s="66"/>
      <c r="F167" s="77" t="s">
        <v>123</v>
      </c>
      <c r="G167" s="68"/>
      <c r="H167" s="72"/>
      <c r="I167" s="88"/>
      <c r="J167" s="132"/>
      <c r="K167" s="132" t="s">
        <v>394</v>
      </c>
      <c r="L167" s="133" t="s">
        <v>394</v>
      </c>
      <c r="M167" s="132"/>
      <c r="N167" s="134" t="s">
        <v>394</v>
      </c>
      <c r="O167" s="132">
        <v>0</v>
      </c>
      <c r="P167" s="133" t="s">
        <v>394</v>
      </c>
    </row>
    <row r="168" spans="1:16" ht="18.75" customHeight="1">
      <c r="A168" s="63">
        <v>164</v>
      </c>
      <c r="B168" s="63">
        <v>2</v>
      </c>
      <c r="C168" s="62" t="s">
        <v>45</v>
      </c>
      <c r="D168" s="131" t="s">
        <v>971</v>
      </c>
      <c r="E168" s="66"/>
      <c r="F168" s="78" t="s">
        <v>123</v>
      </c>
      <c r="G168" s="68"/>
      <c r="H168" s="72"/>
      <c r="I168" s="88"/>
      <c r="J168" s="132"/>
      <c r="K168" s="132" t="s">
        <v>394</v>
      </c>
      <c r="L168" s="133" t="s">
        <v>394</v>
      </c>
      <c r="M168" s="132"/>
      <c r="N168" s="134" t="s">
        <v>394</v>
      </c>
      <c r="O168" s="132">
        <v>0</v>
      </c>
      <c r="P168" s="133" t="s">
        <v>394</v>
      </c>
    </row>
    <row r="169" spans="1:16" ht="18.75" customHeight="1">
      <c r="A169" s="63">
        <v>165</v>
      </c>
      <c r="B169" s="63">
        <v>3</v>
      </c>
      <c r="C169" s="62" t="s">
        <v>45</v>
      </c>
      <c r="D169" s="131" t="s">
        <v>396</v>
      </c>
      <c r="E169" s="66">
        <v>45.23845458892</v>
      </c>
      <c r="F169" s="77" t="s">
        <v>123</v>
      </c>
      <c r="G169" s="68"/>
      <c r="H169" s="72"/>
      <c r="I169" s="88"/>
      <c r="J169" s="132">
        <v>45.23845458892</v>
      </c>
      <c r="K169" s="132" t="s">
        <v>394</v>
      </c>
      <c r="L169" s="133">
        <v>0</v>
      </c>
      <c r="M169" s="132"/>
      <c r="N169" s="134">
        <v>0</v>
      </c>
      <c r="O169" s="132">
        <v>45.23845458892</v>
      </c>
      <c r="P169" s="133">
        <v>1.1485183424469502E-3</v>
      </c>
    </row>
    <row r="170" spans="1:16" ht="18.75" customHeight="1">
      <c r="A170" s="63">
        <v>166</v>
      </c>
      <c r="B170" s="63">
        <v>4</v>
      </c>
      <c r="C170" s="62" t="s">
        <v>45</v>
      </c>
      <c r="D170" s="131" t="s">
        <v>397</v>
      </c>
      <c r="E170" s="66">
        <v>28.1403319839517</v>
      </c>
      <c r="F170" s="78" t="s">
        <v>123</v>
      </c>
      <c r="G170" s="68"/>
      <c r="H170" s="72"/>
      <c r="I170" s="88"/>
      <c r="J170" s="132">
        <v>28.1403319839517</v>
      </c>
      <c r="K170" s="132" t="s">
        <v>394</v>
      </c>
      <c r="L170" s="133">
        <v>0</v>
      </c>
      <c r="M170" s="132"/>
      <c r="N170" s="134">
        <v>0</v>
      </c>
      <c r="O170" s="132">
        <v>28.1403319839517</v>
      </c>
      <c r="P170" s="133">
        <v>7.1442952107455464E-4</v>
      </c>
    </row>
    <row r="171" spans="1:16" ht="18.75" customHeight="1">
      <c r="A171" s="63">
        <v>167</v>
      </c>
      <c r="B171" s="63">
        <v>5</v>
      </c>
      <c r="C171" s="62" t="s">
        <v>45</v>
      </c>
      <c r="D171" s="131" t="s">
        <v>398</v>
      </c>
      <c r="E171" s="66">
        <v>340.63980278888499</v>
      </c>
      <c r="F171" s="77" t="s">
        <v>123</v>
      </c>
      <c r="G171" s="68"/>
      <c r="H171" s="72"/>
      <c r="I171" s="88"/>
      <c r="J171" s="132">
        <v>340.63980278888499</v>
      </c>
      <c r="K171" s="132" t="s">
        <v>394</v>
      </c>
      <c r="L171" s="133">
        <v>0</v>
      </c>
      <c r="M171" s="132"/>
      <c r="N171" s="134">
        <v>0</v>
      </c>
      <c r="O171" s="132">
        <v>340.63980278888499</v>
      </c>
      <c r="P171" s="133">
        <v>8.648196876432826E-3</v>
      </c>
    </row>
    <row r="172" spans="1:16" ht="18.75" customHeight="1">
      <c r="A172" s="63">
        <v>168</v>
      </c>
      <c r="B172" s="63">
        <v>6</v>
      </c>
      <c r="C172" s="62" t="s">
        <v>45</v>
      </c>
      <c r="D172" s="131" t="s">
        <v>399</v>
      </c>
      <c r="E172" s="66"/>
      <c r="F172" s="78" t="s">
        <v>123</v>
      </c>
      <c r="G172" s="68"/>
      <c r="H172" s="72"/>
      <c r="I172" s="88"/>
      <c r="J172" s="132"/>
      <c r="K172" s="132" t="s">
        <v>394</v>
      </c>
      <c r="L172" s="133" t="s">
        <v>394</v>
      </c>
      <c r="M172" s="132"/>
      <c r="N172" s="134" t="s">
        <v>394</v>
      </c>
      <c r="O172" s="132">
        <v>0</v>
      </c>
      <c r="P172" s="133" t="s">
        <v>394</v>
      </c>
    </row>
    <row r="173" spans="1:16" ht="18.75" customHeight="1">
      <c r="A173" s="63">
        <v>169</v>
      </c>
      <c r="B173" s="63">
        <v>1</v>
      </c>
      <c r="C173" s="62" t="s">
        <v>46</v>
      </c>
      <c r="D173" s="131" t="s">
        <v>400</v>
      </c>
      <c r="E173" s="66">
        <v>31158.227699080027</v>
      </c>
      <c r="F173" s="77" t="s">
        <v>104</v>
      </c>
      <c r="G173" s="68">
        <v>31046.74</v>
      </c>
      <c r="H173" s="72" t="s">
        <v>126</v>
      </c>
      <c r="I173" s="88" t="s">
        <v>401</v>
      </c>
      <c r="J173" s="132">
        <v>31158.227699080027</v>
      </c>
      <c r="K173" s="132">
        <v>31046.74</v>
      </c>
      <c r="L173" s="133">
        <v>0.99642188573250212</v>
      </c>
      <c r="M173" s="132"/>
      <c r="N173" s="134">
        <v>0</v>
      </c>
      <c r="O173" s="132">
        <v>31158.227699080027</v>
      </c>
      <c r="P173" s="133">
        <v>1</v>
      </c>
    </row>
    <row r="174" spans="1:16" ht="20.25" customHeight="1">
      <c r="A174" s="63">
        <v>170</v>
      </c>
      <c r="B174" s="63">
        <v>2</v>
      </c>
      <c r="C174" s="62" t="s">
        <v>46</v>
      </c>
      <c r="D174" s="131" t="s">
        <v>402</v>
      </c>
      <c r="E174" s="66">
        <v>16767.182243187985</v>
      </c>
      <c r="F174" s="78" t="s">
        <v>104</v>
      </c>
      <c r="G174" s="68">
        <v>11984</v>
      </c>
      <c r="H174" s="72" t="s">
        <v>116</v>
      </c>
      <c r="I174" s="88" t="s">
        <v>403</v>
      </c>
      <c r="J174" s="132">
        <v>16767.182243187985</v>
      </c>
      <c r="K174" s="132">
        <v>11984</v>
      </c>
      <c r="L174" s="133">
        <v>0.71472951305630072</v>
      </c>
      <c r="M174" s="132"/>
      <c r="N174" s="134">
        <v>0</v>
      </c>
      <c r="O174" s="132">
        <v>16767.182243187985</v>
      </c>
      <c r="P174" s="133">
        <v>1</v>
      </c>
    </row>
    <row r="175" spans="1:16" ht="20.25" customHeight="1">
      <c r="A175" s="63">
        <v>171</v>
      </c>
      <c r="B175" s="63">
        <v>3</v>
      </c>
      <c r="C175" s="62" t="s">
        <v>46</v>
      </c>
      <c r="D175" s="131" t="s">
        <v>404</v>
      </c>
      <c r="E175" s="66">
        <v>57510.76511166901</v>
      </c>
      <c r="F175" s="77" t="s">
        <v>104</v>
      </c>
      <c r="G175" s="68">
        <v>35244</v>
      </c>
      <c r="H175" s="72" t="s">
        <v>116</v>
      </c>
      <c r="I175" s="88" t="s">
        <v>405</v>
      </c>
      <c r="J175" s="132">
        <v>57510.76511166901</v>
      </c>
      <c r="K175" s="132">
        <v>35244</v>
      </c>
      <c r="L175" s="133">
        <v>0.61282439785954002</v>
      </c>
      <c r="M175" s="132"/>
      <c r="N175" s="134">
        <v>0</v>
      </c>
      <c r="O175" s="132">
        <v>57510.76511166901</v>
      </c>
      <c r="P175" s="133">
        <v>1</v>
      </c>
    </row>
    <row r="176" spans="1:16" ht="20.25" customHeight="1">
      <c r="A176" s="63">
        <v>172</v>
      </c>
      <c r="B176" s="63">
        <v>4</v>
      </c>
      <c r="C176" s="62" t="s">
        <v>46</v>
      </c>
      <c r="D176" s="131" t="s">
        <v>406</v>
      </c>
      <c r="E176" s="66">
        <v>46141.358702081998</v>
      </c>
      <c r="F176" s="78" t="s">
        <v>104</v>
      </c>
      <c r="G176" s="68">
        <v>46603.93</v>
      </c>
      <c r="H176" s="72" t="s">
        <v>126</v>
      </c>
      <c r="I176" s="88" t="s">
        <v>256</v>
      </c>
      <c r="J176" s="132">
        <v>46141.358702081998</v>
      </c>
      <c r="K176" s="132">
        <v>46603.93</v>
      </c>
      <c r="L176" s="133">
        <v>1.0100250905246344</v>
      </c>
      <c r="M176" s="132"/>
      <c r="N176" s="134">
        <v>0</v>
      </c>
      <c r="O176" s="132">
        <v>46141.358702081998</v>
      </c>
      <c r="P176" s="133">
        <v>1</v>
      </c>
    </row>
    <row r="177" spans="1:16" ht="20.25" customHeight="1">
      <c r="A177" s="63">
        <v>173</v>
      </c>
      <c r="B177" s="63">
        <v>5</v>
      </c>
      <c r="C177" s="62" t="s">
        <v>46</v>
      </c>
      <c r="D177" s="131" t="s">
        <v>407</v>
      </c>
      <c r="E177" s="66">
        <v>31300.381601643003</v>
      </c>
      <c r="F177" s="77" t="s">
        <v>91</v>
      </c>
      <c r="G177" s="68">
        <v>66143.899999999994</v>
      </c>
      <c r="H177" s="72" t="s">
        <v>97</v>
      </c>
      <c r="I177" s="88" t="s">
        <v>408</v>
      </c>
      <c r="J177" s="132">
        <v>31300.381601643003</v>
      </c>
      <c r="K177" s="132">
        <v>66143.899999999994</v>
      </c>
      <c r="L177" s="133">
        <v>2.1131978786011989</v>
      </c>
      <c r="M177" s="132">
        <v>25952</v>
      </c>
      <c r="N177" s="134">
        <v>0.82912727168277534</v>
      </c>
      <c r="O177" s="132">
        <v>5348.3816016430028</v>
      </c>
      <c r="P177" s="133">
        <v>0.17087272831722469</v>
      </c>
    </row>
    <row r="178" spans="1:16" ht="20.25" customHeight="1">
      <c r="A178" s="63">
        <v>174</v>
      </c>
      <c r="B178" s="63">
        <v>6</v>
      </c>
      <c r="C178" s="62" t="s">
        <v>46</v>
      </c>
      <c r="D178" s="131" t="s">
        <v>409</v>
      </c>
      <c r="E178" s="66">
        <v>67510.813003902484</v>
      </c>
      <c r="F178" s="78" t="s">
        <v>91</v>
      </c>
      <c r="G178" s="68">
        <v>107230.94</v>
      </c>
      <c r="H178" s="72" t="s">
        <v>97</v>
      </c>
      <c r="I178" s="88" t="s">
        <v>410</v>
      </c>
      <c r="J178" s="132">
        <v>67510.813003902484</v>
      </c>
      <c r="K178" s="132">
        <v>107230.94</v>
      </c>
      <c r="L178" s="133">
        <v>1.5883520761896539</v>
      </c>
      <c r="M178" s="132">
        <v>45577</v>
      </c>
      <c r="N178" s="134">
        <v>0.67510666768841021</v>
      </c>
      <c r="O178" s="132">
        <v>21933.813003902484</v>
      </c>
      <c r="P178" s="133">
        <v>0.32489333231158973</v>
      </c>
    </row>
    <row r="179" spans="1:16" ht="20.25" customHeight="1">
      <c r="A179" s="63">
        <v>175</v>
      </c>
      <c r="B179" s="63">
        <v>7</v>
      </c>
      <c r="C179" s="62" t="s">
        <v>46</v>
      </c>
      <c r="D179" s="131" t="s">
        <v>411</v>
      </c>
      <c r="E179" s="66">
        <v>53396.24363379123</v>
      </c>
      <c r="F179" s="77" t="s">
        <v>91</v>
      </c>
      <c r="G179" s="68">
        <v>43000</v>
      </c>
      <c r="H179" s="72" t="s">
        <v>116</v>
      </c>
      <c r="I179" s="88" t="s">
        <v>412</v>
      </c>
      <c r="J179" s="132">
        <v>53396.24363379123</v>
      </c>
      <c r="K179" s="132">
        <v>43000</v>
      </c>
      <c r="L179" s="133">
        <v>0.80530009367153155</v>
      </c>
      <c r="M179" s="132">
        <v>34154.999200999999</v>
      </c>
      <c r="N179" s="134">
        <v>0.63965172223061362</v>
      </c>
      <c r="O179" s="132">
        <v>19241.244432791231</v>
      </c>
      <c r="P179" s="133">
        <v>0.36034827776938638</v>
      </c>
    </row>
    <row r="180" spans="1:16" ht="20.25" customHeight="1">
      <c r="A180" s="63">
        <v>176</v>
      </c>
      <c r="B180" s="63">
        <v>8</v>
      </c>
      <c r="C180" s="62" t="s">
        <v>46</v>
      </c>
      <c r="D180" s="131" t="s">
        <v>413</v>
      </c>
      <c r="E180" s="66">
        <v>42718.659462992306</v>
      </c>
      <c r="F180" s="78" t="s">
        <v>91</v>
      </c>
      <c r="G180" s="68">
        <v>44028</v>
      </c>
      <c r="H180" s="72" t="s">
        <v>116</v>
      </c>
      <c r="I180" s="88" t="s">
        <v>311</v>
      </c>
      <c r="J180" s="132">
        <v>42718.659462992306</v>
      </c>
      <c r="K180" s="132">
        <v>44028</v>
      </c>
      <c r="L180" s="133">
        <v>1.0306503189347969</v>
      </c>
      <c r="M180" s="132">
        <v>29615</v>
      </c>
      <c r="N180" s="134">
        <v>0.69325677285486531</v>
      </c>
      <c r="O180" s="132">
        <v>13103.659462992306</v>
      </c>
      <c r="P180" s="133">
        <v>0.30674322714513469</v>
      </c>
    </row>
    <row r="181" spans="1:16" ht="20.25" customHeight="1">
      <c r="A181" s="63">
        <v>177</v>
      </c>
      <c r="B181" s="63">
        <v>9</v>
      </c>
      <c r="C181" s="62" t="s">
        <v>46</v>
      </c>
      <c r="D181" s="131" t="s">
        <v>414</v>
      </c>
      <c r="E181" s="66">
        <v>122920.09722636723</v>
      </c>
      <c r="F181" s="77" t="s">
        <v>91</v>
      </c>
      <c r="G181" s="68">
        <v>84684</v>
      </c>
      <c r="H181" s="72" t="s">
        <v>97</v>
      </c>
      <c r="I181" s="88" t="s">
        <v>415</v>
      </c>
      <c r="J181" s="132">
        <v>122920.09722636723</v>
      </c>
      <c r="K181" s="132">
        <v>84684</v>
      </c>
      <c r="L181" s="133">
        <v>0.68893534833484238</v>
      </c>
      <c r="M181" s="132">
        <v>84025.521109391237</v>
      </c>
      <c r="N181" s="134">
        <v>0.68357838144767724</v>
      </c>
      <c r="O181" s="132">
        <v>38894.576116975994</v>
      </c>
      <c r="P181" s="133">
        <v>0.3164216185523227</v>
      </c>
    </row>
    <row r="182" spans="1:16" ht="20.25" customHeight="1">
      <c r="A182" s="63">
        <v>178</v>
      </c>
      <c r="B182" s="63">
        <v>10</v>
      </c>
      <c r="C182" s="62" t="s">
        <v>46</v>
      </c>
      <c r="D182" s="131" t="s">
        <v>416</v>
      </c>
      <c r="E182" s="66">
        <v>101961.77500078136</v>
      </c>
      <c r="F182" s="78" t="s">
        <v>91</v>
      </c>
      <c r="G182" s="68">
        <v>87253.1</v>
      </c>
      <c r="H182" s="72" t="s">
        <v>92</v>
      </c>
      <c r="I182" s="88" t="s">
        <v>417</v>
      </c>
      <c r="J182" s="132">
        <v>101961.77500078136</v>
      </c>
      <c r="K182" s="132">
        <v>87253.1</v>
      </c>
      <c r="L182" s="133">
        <v>0.85574324298818216</v>
      </c>
      <c r="M182" s="132">
        <v>86708.903436697132</v>
      </c>
      <c r="N182" s="134">
        <v>0.85040598239911636</v>
      </c>
      <c r="O182" s="132">
        <v>15252.871564084227</v>
      </c>
      <c r="P182" s="133">
        <v>0.14959401760088367</v>
      </c>
    </row>
    <row r="183" spans="1:16" ht="20.25" customHeight="1">
      <c r="A183" s="63">
        <v>179</v>
      </c>
      <c r="B183" s="63">
        <v>11</v>
      </c>
      <c r="C183" s="62" t="s">
        <v>46</v>
      </c>
      <c r="D183" s="131" t="s">
        <v>418</v>
      </c>
      <c r="E183" s="66">
        <v>1009.3719792299997</v>
      </c>
      <c r="F183" s="77" t="s">
        <v>104</v>
      </c>
      <c r="G183" s="68">
        <v>54</v>
      </c>
      <c r="H183" s="72" t="s">
        <v>116</v>
      </c>
      <c r="I183" s="88" t="s">
        <v>220</v>
      </c>
      <c r="J183" s="132">
        <v>1009.3719792299997</v>
      </c>
      <c r="K183" s="132">
        <v>54</v>
      </c>
      <c r="L183" s="133">
        <v>5.3498612118392609E-2</v>
      </c>
      <c r="M183" s="132"/>
      <c r="N183" s="134">
        <v>0</v>
      </c>
      <c r="O183" s="132">
        <v>1009.3719792299997</v>
      </c>
      <c r="P183" s="133">
        <v>1</v>
      </c>
    </row>
    <row r="184" spans="1:16" ht="20.25" customHeight="1">
      <c r="A184" s="63">
        <v>180</v>
      </c>
      <c r="B184" s="63">
        <v>12</v>
      </c>
      <c r="C184" s="62" t="s">
        <v>46</v>
      </c>
      <c r="D184" s="131" t="s">
        <v>419</v>
      </c>
      <c r="E184" s="66">
        <v>3106.7060016591186</v>
      </c>
      <c r="F184" s="78" t="s">
        <v>104</v>
      </c>
      <c r="G184" s="68">
        <v>1642</v>
      </c>
      <c r="H184" s="72" t="s">
        <v>116</v>
      </c>
      <c r="I184" s="88" t="s">
        <v>420</v>
      </c>
      <c r="J184" s="132">
        <v>3106.7060016591186</v>
      </c>
      <c r="K184" s="132">
        <v>1642</v>
      </c>
      <c r="L184" s="133">
        <v>0.52853408050942041</v>
      </c>
      <c r="M184" s="132"/>
      <c r="N184" s="134">
        <v>0</v>
      </c>
      <c r="O184" s="132">
        <v>3106.7060016591186</v>
      </c>
      <c r="P184" s="133">
        <v>1</v>
      </c>
    </row>
    <row r="185" spans="1:16" ht="20.25" customHeight="1">
      <c r="A185" s="63">
        <v>181</v>
      </c>
      <c r="B185" s="63">
        <v>13</v>
      </c>
      <c r="C185" s="62" t="s">
        <v>46</v>
      </c>
      <c r="D185" s="131" t="s">
        <v>421</v>
      </c>
      <c r="E185" s="66">
        <v>531.61792129010007</v>
      </c>
      <c r="F185" s="77" t="s">
        <v>123</v>
      </c>
      <c r="G185" s="68"/>
      <c r="H185" s="72" t="s">
        <v>116</v>
      </c>
      <c r="I185" s="88" t="s">
        <v>422</v>
      </c>
      <c r="J185" s="132">
        <v>531.61792129010007</v>
      </c>
      <c r="K185" s="132"/>
      <c r="L185" s="133">
        <v>0</v>
      </c>
      <c r="M185" s="132"/>
      <c r="N185" s="134">
        <v>0</v>
      </c>
      <c r="O185" s="132">
        <v>531.61792129010007</v>
      </c>
      <c r="P185" s="133">
        <v>1</v>
      </c>
    </row>
    <row r="186" spans="1:16" ht="20.25" customHeight="1">
      <c r="A186" s="63">
        <v>182</v>
      </c>
      <c r="B186" s="63">
        <v>14</v>
      </c>
      <c r="C186" s="62" t="s">
        <v>46</v>
      </c>
      <c r="D186" s="131" t="s">
        <v>423</v>
      </c>
      <c r="E186" s="66">
        <v>86.447775373743042</v>
      </c>
      <c r="F186" s="78" t="s">
        <v>91</v>
      </c>
      <c r="G186" s="68">
        <v>58.64</v>
      </c>
      <c r="H186" s="72" t="s">
        <v>126</v>
      </c>
      <c r="I186" s="88" t="s">
        <v>424</v>
      </c>
      <c r="J186" s="132">
        <v>86.447775373743042</v>
      </c>
      <c r="K186" s="132">
        <v>58.64</v>
      </c>
      <c r="L186" s="133">
        <v>0.67832861801798139</v>
      </c>
      <c r="M186" s="135">
        <v>0</v>
      </c>
      <c r="N186" s="134">
        <v>0</v>
      </c>
      <c r="O186" s="132">
        <v>86.447775373743042</v>
      </c>
      <c r="P186" s="133">
        <v>1</v>
      </c>
    </row>
    <row r="187" spans="1:16" ht="20.25" customHeight="1">
      <c r="A187" s="63">
        <v>183</v>
      </c>
      <c r="B187" s="63">
        <v>15</v>
      </c>
      <c r="C187" s="62" t="s">
        <v>46</v>
      </c>
      <c r="D187" s="131" t="s">
        <v>425</v>
      </c>
      <c r="E187" s="66">
        <v>177.19590084800004</v>
      </c>
      <c r="F187" s="77" t="s">
        <v>104</v>
      </c>
      <c r="G187" s="68">
        <v>20</v>
      </c>
      <c r="H187" s="72" t="s">
        <v>116</v>
      </c>
      <c r="I187" s="88" t="s">
        <v>420</v>
      </c>
      <c r="J187" s="132">
        <v>177.19590084800004</v>
      </c>
      <c r="K187" s="132">
        <v>20</v>
      </c>
      <c r="L187" s="133">
        <v>0.11286942815430109</v>
      </c>
      <c r="M187" s="132"/>
      <c r="N187" s="134">
        <v>0</v>
      </c>
      <c r="O187" s="132">
        <v>177.19590084800004</v>
      </c>
      <c r="P187" s="133">
        <v>1</v>
      </c>
    </row>
    <row r="188" spans="1:16" ht="20.25" customHeight="1">
      <c r="A188" s="63">
        <v>184</v>
      </c>
      <c r="B188" s="63">
        <v>16</v>
      </c>
      <c r="C188" s="62" t="s">
        <v>46</v>
      </c>
      <c r="D188" s="131" t="s">
        <v>426</v>
      </c>
      <c r="E188" s="66">
        <v>272.69626743929405</v>
      </c>
      <c r="F188" s="78" t="s">
        <v>104</v>
      </c>
      <c r="G188" s="68">
        <v>2.9899999999999998</v>
      </c>
      <c r="H188" s="72" t="s">
        <v>92</v>
      </c>
      <c r="I188" s="88" t="s">
        <v>427</v>
      </c>
      <c r="J188" s="132">
        <v>272.69626743929405</v>
      </c>
      <c r="K188" s="132">
        <v>2.9899999999999998</v>
      </c>
      <c r="L188" s="133">
        <v>1.0964579853171679E-2</v>
      </c>
      <c r="M188" s="132"/>
      <c r="N188" s="134">
        <v>0</v>
      </c>
      <c r="O188" s="132">
        <v>272.69626743929405</v>
      </c>
      <c r="P188" s="133">
        <v>1</v>
      </c>
    </row>
    <row r="189" spans="1:16" ht="20.25" customHeight="1">
      <c r="A189" s="63">
        <v>185</v>
      </c>
      <c r="B189" s="63">
        <v>17</v>
      </c>
      <c r="C189" s="62" t="s">
        <v>46</v>
      </c>
      <c r="D189" s="131" t="s">
        <v>428</v>
      </c>
      <c r="E189" s="66">
        <v>7.3879501038200006</v>
      </c>
      <c r="F189" s="77" t="s">
        <v>104</v>
      </c>
      <c r="G189" s="68">
        <v>5.84</v>
      </c>
      <c r="H189" s="72" t="s">
        <v>116</v>
      </c>
      <c r="I189" s="88" t="s">
        <v>429</v>
      </c>
      <c r="J189" s="132">
        <v>7.3879501038200006</v>
      </c>
      <c r="K189" s="132">
        <v>5.84</v>
      </c>
      <c r="L189" s="133">
        <v>0.79047637273299665</v>
      </c>
      <c r="M189" s="132"/>
      <c r="N189" s="134">
        <v>0</v>
      </c>
      <c r="O189" s="132">
        <v>7.3879501038200006</v>
      </c>
      <c r="P189" s="133">
        <v>1</v>
      </c>
    </row>
    <row r="190" spans="1:16" ht="20.25" customHeight="1">
      <c r="A190" s="63">
        <v>186</v>
      </c>
      <c r="B190" s="63">
        <v>18</v>
      </c>
      <c r="C190" s="62" t="s">
        <v>46</v>
      </c>
      <c r="D190" s="131" t="s">
        <v>430</v>
      </c>
      <c r="E190" s="66">
        <v>1509.8589320140009</v>
      </c>
      <c r="F190" s="78" t="s">
        <v>91</v>
      </c>
      <c r="G190" s="68">
        <v>425</v>
      </c>
      <c r="H190" s="72" t="s">
        <v>116</v>
      </c>
      <c r="I190" s="88" t="s">
        <v>159</v>
      </c>
      <c r="J190" s="132">
        <v>1509.8589320140009</v>
      </c>
      <c r="K190" s="132">
        <v>425</v>
      </c>
      <c r="L190" s="133">
        <v>0.28148325051340556</v>
      </c>
      <c r="M190" s="132">
        <v>397</v>
      </c>
      <c r="N190" s="134">
        <v>0.26293847165605178</v>
      </c>
      <c r="O190" s="132">
        <v>1112.8589320140009</v>
      </c>
      <c r="P190" s="133">
        <v>0.73706152834394822</v>
      </c>
    </row>
    <row r="191" spans="1:16" ht="20.25" customHeight="1">
      <c r="A191" s="63">
        <v>187</v>
      </c>
      <c r="B191" s="63">
        <v>19</v>
      </c>
      <c r="C191" s="62" t="s">
        <v>46</v>
      </c>
      <c r="D191" s="131" t="s">
        <v>431</v>
      </c>
      <c r="E191" s="66">
        <v>5373.1439484360899</v>
      </c>
      <c r="F191" s="77" t="s">
        <v>123</v>
      </c>
      <c r="G191" s="68"/>
      <c r="H191" s="72" t="s">
        <v>116</v>
      </c>
      <c r="I191" s="88" t="s">
        <v>432</v>
      </c>
      <c r="J191" s="132">
        <v>5373.1439484360899</v>
      </c>
      <c r="K191" s="132"/>
      <c r="L191" s="133">
        <v>0</v>
      </c>
      <c r="M191" s="132"/>
      <c r="N191" s="134">
        <v>0</v>
      </c>
      <c r="O191" s="132">
        <v>5373.1439484360899</v>
      </c>
      <c r="P191" s="133">
        <v>1</v>
      </c>
    </row>
    <row r="192" spans="1:16" ht="20.25" customHeight="1">
      <c r="A192" s="63">
        <v>188</v>
      </c>
      <c r="B192" s="63">
        <v>20</v>
      </c>
      <c r="C192" s="62" t="s">
        <v>46</v>
      </c>
      <c r="D192" s="131" t="s">
        <v>433</v>
      </c>
      <c r="E192" s="66">
        <v>28016.982784532218</v>
      </c>
      <c r="F192" s="78" t="s">
        <v>91</v>
      </c>
      <c r="G192" s="68">
        <v>45994</v>
      </c>
      <c r="H192" s="72" t="s">
        <v>97</v>
      </c>
      <c r="I192" s="88" t="s">
        <v>434</v>
      </c>
      <c r="J192" s="132">
        <v>28016.982784532218</v>
      </c>
      <c r="K192" s="132">
        <v>45994</v>
      </c>
      <c r="L192" s="133">
        <v>1.6416471521477551</v>
      </c>
      <c r="M192" s="132">
        <v>20686</v>
      </c>
      <c r="N192" s="134">
        <v>0.73833789166692321</v>
      </c>
      <c r="O192" s="132">
        <v>7330.9827845322179</v>
      </c>
      <c r="P192" s="133">
        <v>0.26166210833307685</v>
      </c>
    </row>
    <row r="193" spans="1:16" ht="20.25" customHeight="1">
      <c r="A193" s="63">
        <v>189</v>
      </c>
      <c r="B193" s="63">
        <v>21</v>
      </c>
      <c r="C193" s="62" t="s">
        <v>46</v>
      </c>
      <c r="D193" s="131" t="s">
        <v>435</v>
      </c>
      <c r="E193" s="66">
        <v>56161.634647420331</v>
      </c>
      <c r="F193" s="77" t="s">
        <v>91</v>
      </c>
      <c r="G193" s="68">
        <v>30996.42</v>
      </c>
      <c r="H193" s="72" t="s">
        <v>97</v>
      </c>
      <c r="I193" s="88" t="s">
        <v>436</v>
      </c>
      <c r="J193" s="132">
        <v>56161.634647420331</v>
      </c>
      <c r="K193" s="132">
        <v>30996.42</v>
      </c>
      <c r="L193" s="133">
        <v>0.5519144909971696</v>
      </c>
      <c r="M193" s="132">
        <v>30293</v>
      </c>
      <c r="N193" s="134">
        <v>0.53938957065936199</v>
      </c>
      <c r="O193" s="132">
        <v>25868.634647420331</v>
      </c>
      <c r="P193" s="133">
        <v>0.46061042934063801</v>
      </c>
    </row>
    <row r="194" spans="1:16" ht="20.25" customHeight="1">
      <c r="A194" s="63">
        <v>190</v>
      </c>
      <c r="B194" s="63">
        <v>22</v>
      </c>
      <c r="C194" s="62" t="s">
        <v>46</v>
      </c>
      <c r="D194" s="131" t="s">
        <v>437</v>
      </c>
      <c r="E194" s="66">
        <v>17674.683865806546</v>
      </c>
      <c r="F194" s="78" t="s">
        <v>104</v>
      </c>
      <c r="G194" s="68">
        <v>20122</v>
      </c>
      <c r="H194" s="72" t="s">
        <v>116</v>
      </c>
      <c r="I194" s="88" t="s">
        <v>438</v>
      </c>
      <c r="J194" s="132">
        <v>17674.683865806546</v>
      </c>
      <c r="K194" s="132">
        <v>20122</v>
      </c>
      <c r="L194" s="133">
        <v>1.1384644926480429</v>
      </c>
      <c r="M194" s="132"/>
      <c r="N194" s="134">
        <v>0</v>
      </c>
      <c r="O194" s="132">
        <v>17674.683865806546</v>
      </c>
      <c r="P194" s="133">
        <v>1</v>
      </c>
    </row>
    <row r="195" spans="1:16" ht="20.25" customHeight="1">
      <c r="A195" s="63">
        <v>191</v>
      </c>
      <c r="B195" s="63">
        <v>23</v>
      </c>
      <c r="C195" s="62" t="s">
        <v>46</v>
      </c>
      <c r="D195" s="131" t="s">
        <v>439</v>
      </c>
      <c r="E195" s="66">
        <v>19245.060403105945</v>
      </c>
      <c r="F195" s="77" t="s">
        <v>91</v>
      </c>
      <c r="G195" s="68">
        <v>16240</v>
      </c>
      <c r="H195" s="72" t="s">
        <v>97</v>
      </c>
      <c r="I195" s="88" t="s">
        <v>440</v>
      </c>
      <c r="J195" s="132">
        <v>19245.060403105945</v>
      </c>
      <c r="K195" s="132">
        <v>16240</v>
      </c>
      <c r="L195" s="133">
        <v>0.84385289834575106</v>
      </c>
      <c r="M195" s="132">
        <v>15846</v>
      </c>
      <c r="N195" s="134">
        <v>0.82338011251150067</v>
      </c>
      <c r="O195" s="132">
        <v>3399.0604031059447</v>
      </c>
      <c r="P195" s="133">
        <v>0.1766198874884993</v>
      </c>
    </row>
    <row r="196" spans="1:16" ht="20.25" customHeight="1">
      <c r="A196" s="63">
        <v>192</v>
      </c>
      <c r="B196" s="63">
        <v>24</v>
      </c>
      <c r="C196" s="62" t="s">
        <v>46</v>
      </c>
      <c r="D196" s="131" t="s">
        <v>441</v>
      </c>
      <c r="E196" s="66">
        <v>90531.767625159118</v>
      </c>
      <c r="F196" s="78" t="s">
        <v>91</v>
      </c>
      <c r="G196" s="68">
        <v>70981.62</v>
      </c>
      <c r="H196" s="72" t="s">
        <v>97</v>
      </c>
      <c r="I196" s="88" t="s">
        <v>442</v>
      </c>
      <c r="J196" s="132">
        <v>90531.767625159118</v>
      </c>
      <c r="K196" s="132">
        <v>70981.62</v>
      </c>
      <c r="L196" s="133">
        <v>0.78405207212892125</v>
      </c>
      <c r="M196" s="132">
        <v>64468</v>
      </c>
      <c r="N196" s="134">
        <v>0.71210362606555466</v>
      </c>
      <c r="O196" s="132">
        <v>26063.767625159118</v>
      </c>
      <c r="P196" s="133">
        <v>0.28789637393444528</v>
      </c>
    </row>
    <row r="197" spans="1:16" ht="20.25" customHeight="1">
      <c r="A197" s="63">
        <v>193</v>
      </c>
      <c r="B197" s="63">
        <v>25</v>
      </c>
      <c r="C197" s="62" t="s">
        <v>46</v>
      </c>
      <c r="D197" s="131" t="s">
        <v>443</v>
      </c>
      <c r="E197" s="66">
        <v>56782.666303111815</v>
      </c>
      <c r="F197" s="77" t="s">
        <v>104</v>
      </c>
      <c r="G197" s="68">
        <v>64077</v>
      </c>
      <c r="H197" s="72" t="s">
        <v>126</v>
      </c>
      <c r="I197" s="88" t="s">
        <v>444</v>
      </c>
      <c r="J197" s="132">
        <v>56782.666303111815</v>
      </c>
      <c r="K197" s="132">
        <v>64077</v>
      </c>
      <c r="L197" s="133">
        <v>1.1284605703076758</v>
      </c>
      <c r="M197" s="132"/>
      <c r="N197" s="134">
        <v>0</v>
      </c>
      <c r="O197" s="132">
        <v>56782.666303111815</v>
      </c>
      <c r="P197" s="133">
        <v>1</v>
      </c>
    </row>
    <row r="198" spans="1:16" ht="20.25" customHeight="1">
      <c r="A198" s="63">
        <v>194</v>
      </c>
      <c r="B198" s="63">
        <v>26</v>
      </c>
      <c r="C198" s="62" t="s">
        <v>46</v>
      </c>
      <c r="D198" s="131" t="s">
        <v>445</v>
      </c>
      <c r="E198" s="66">
        <v>31166.802586330381</v>
      </c>
      <c r="F198" s="78" t="s">
        <v>91</v>
      </c>
      <c r="G198" s="68">
        <v>21152.74</v>
      </c>
      <c r="H198" s="72" t="s">
        <v>97</v>
      </c>
      <c r="I198" s="88" t="s">
        <v>446</v>
      </c>
      <c r="J198" s="132">
        <v>31166.802586330381</v>
      </c>
      <c r="K198" s="132">
        <v>21152.74</v>
      </c>
      <c r="L198" s="133">
        <v>0.67869458028002838</v>
      </c>
      <c r="M198" s="135">
        <v>16799.3332618155</v>
      </c>
      <c r="N198" s="134">
        <v>0.53901368981570186</v>
      </c>
      <c r="O198" s="132">
        <v>14367.469324514881</v>
      </c>
      <c r="P198" s="133">
        <v>0.46098631018429809</v>
      </c>
    </row>
    <row r="199" spans="1:16" ht="20.25" customHeight="1">
      <c r="A199" s="63">
        <v>195</v>
      </c>
      <c r="B199" s="63">
        <v>27</v>
      </c>
      <c r="C199" s="62" t="s">
        <v>46</v>
      </c>
      <c r="D199" s="131" t="s">
        <v>447</v>
      </c>
      <c r="E199" s="66">
        <v>45178.452436232699</v>
      </c>
      <c r="F199" s="77" t="s">
        <v>91</v>
      </c>
      <c r="G199" s="68">
        <v>40346</v>
      </c>
      <c r="H199" s="72" t="s">
        <v>92</v>
      </c>
      <c r="I199" s="88" t="s">
        <v>448</v>
      </c>
      <c r="J199" s="132">
        <v>45178.452436232699</v>
      </c>
      <c r="K199" s="132">
        <v>40346</v>
      </c>
      <c r="L199" s="133">
        <v>0.89303634419409383</v>
      </c>
      <c r="M199" s="132">
        <v>36791</v>
      </c>
      <c r="N199" s="134">
        <v>0.81434838990841485</v>
      </c>
      <c r="O199" s="132">
        <v>8387.4524362326993</v>
      </c>
      <c r="P199" s="133">
        <v>0.18565161009158518</v>
      </c>
    </row>
    <row r="200" spans="1:16" ht="20.25" customHeight="1">
      <c r="A200" s="63">
        <v>196</v>
      </c>
      <c r="B200" s="63">
        <v>1</v>
      </c>
      <c r="C200" s="62" t="s">
        <v>47</v>
      </c>
      <c r="D200" s="131" t="s">
        <v>449</v>
      </c>
      <c r="E200" s="66">
        <v>12101.499887402359</v>
      </c>
      <c r="F200" s="78" t="s">
        <v>91</v>
      </c>
      <c r="G200" s="68">
        <v>27344</v>
      </c>
      <c r="H200" s="72" t="s">
        <v>97</v>
      </c>
      <c r="I200" s="88" t="s">
        <v>450</v>
      </c>
      <c r="J200" s="132">
        <v>12101.499887402359</v>
      </c>
      <c r="K200" s="132">
        <v>27344</v>
      </c>
      <c r="L200" s="133">
        <v>2.2595546216932214</v>
      </c>
      <c r="M200" s="132">
        <v>9438</v>
      </c>
      <c r="N200" s="134">
        <v>0.77990332502708548</v>
      </c>
      <c r="O200" s="132">
        <v>2663.4998874023586</v>
      </c>
      <c r="P200" s="133">
        <v>0.22009667497291452</v>
      </c>
    </row>
    <row r="201" spans="1:16" ht="20.25" customHeight="1">
      <c r="A201" s="63">
        <v>197</v>
      </c>
      <c r="B201" s="63">
        <v>2</v>
      </c>
      <c r="C201" s="62" t="s">
        <v>47</v>
      </c>
      <c r="D201" s="131" t="s">
        <v>451</v>
      </c>
      <c r="E201" s="66">
        <v>30896.313923130165</v>
      </c>
      <c r="F201" s="77" t="s">
        <v>91</v>
      </c>
      <c r="G201" s="68">
        <v>50944.479999999996</v>
      </c>
      <c r="H201" s="72" t="s">
        <v>97</v>
      </c>
      <c r="I201" s="88" t="s">
        <v>452</v>
      </c>
      <c r="J201" s="132">
        <v>30896.313923130165</v>
      </c>
      <c r="K201" s="132">
        <v>50944.479999999996</v>
      </c>
      <c r="L201" s="133">
        <v>1.6488853695217347</v>
      </c>
      <c r="M201" s="132">
        <v>25160.013346573454</v>
      </c>
      <c r="N201" s="134">
        <v>0.814337056814331</v>
      </c>
      <c r="O201" s="132">
        <v>5736.3005765567104</v>
      </c>
      <c r="P201" s="133">
        <v>0.185662943185669</v>
      </c>
    </row>
    <row r="202" spans="1:16" ht="20.25" customHeight="1">
      <c r="A202" s="63">
        <v>198</v>
      </c>
      <c r="B202" s="63">
        <v>3</v>
      </c>
      <c r="C202" s="62" t="s">
        <v>47</v>
      </c>
      <c r="D202" s="131" t="s">
        <v>453</v>
      </c>
      <c r="E202" s="66">
        <v>18304.490890100722</v>
      </c>
      <c r="F202" s="78" t="s">
        <v>91</v>
      </c>
      <c r="G202" s="68">
        <v>26394</v>
      </c>
      <c r="H202" s="72" t="s">
        <v>116</v>
      </c>
      <c r="I202" s="88" t="s">
        <v>454</v>
      </c>
      <c r="J202" s="132">
        <v>18304.490890100722</v>
      </c>
      <c r="K202" s="132">
        <v>26394</v>
      </c>
      <c r="L202" s="133">
        <v>1.4419412240672684</v>
      </c>
      <c r="M202" s="132">
        <v>16491</v>
      </c>
      <c r="N202" s="134">
        <v>0.90092645018160655</v>
      </c>
      <c r="O202" s="132">
        <v>1813.490890100722</v>
      </c>
      <c r="P202" s="133">
        <v>9.9073549818393405E-2</v>
      </c>
    </row>
    <row r="203" spans="1:16" ht="20.25" customHeight="1">
      <c r="A203" s="63">
        <v>199</v>
      </c>
      <c r="B203" s="63">
        <v>4</v>
      </c>
      <c r="C203" s="62" t="s">
        <v>47</v>
      </c>
      <c r="D203" s="131" t="s">
        <v>455</v>
      </c>
      <c r="E203" s="66">
        <v>69760.015452482301</v>
      </c>
      <c r="F203" s="77" t="s">
        <v>91</v>
      </c>
      <c r="G203" s="68">
        <v>65755</v>
      </c>
      <c r="H203" s="72" t="s">
        <v>116</v>
      </c>
      <c r="I203" s="88" t="s">
        <v>304</v>
      </c>
      <c r="J203" s="132">
        <v>69760.015452482301</v>
      </c>
      <c r="K203" s="132">
        <v>65755</v>
      </c>
      <c r="L203" s="133">
        <v>0.94258866735472047</v>
      </c>
      <c r="M203" s="132">
        <v>52939</v>
      </c>
      <c r="N203" s="134">
        <v>0.7588731117191323</v>
      </c>
      <c r="O203" s="132">
        <v>16821.015452482301</v>
      </c>
      <c r="P203" s="133">
        <v>0.24112688828086765</v>
      </c>
    </row>
    <row r="204" spans="1:16" ht="20.25" customHeight="1">
      <c r="A204" s="63">
        <v>200</v>
      </c>
      <c r="B204" s="63">
        <v>5</v>
      </c>
      <c r="C204" s="62" t="s">
        <v>47</v>
      </c>
      <c r="D204" s="131" t="s">
        <v>456</v>
      </c>
      <c r="E204" s="66">
        <v>27521.694127675477</v>
      </c>
      <c r="F204" s="78" t="s">
        <v>91</v>
      </c>
      <c r="G204" s="68">
        <v>20694</v>
      </c>
      <c r="H204" s="72" t="s">
        <v>116</v>
      </c>
      <c r="I204" s="88" t="s">
        <v>331</v>
      </c>
      <c r="J204" s="132">
        <v>27521.694127675477</v>
      </c>
      <c r="K204" s="132">
        <v>20694</v>
      </c>
      <c r="L204" s="133">
        <v>0.7519159214544997</v>
      </c>
      <c r="M204" s="132">
        <v>19888</v>
      </c>
      <c r="N204" s="134">
        <v>0.72262993359848704</v>
      </c>
      <c r="O204" s="132">
        <v>7633.6941276754769</v>
      </c>
      <c r="P204" s="133">
        <v>0.27737006640151296</v>
      </c>
    </row>
    <row r="205" spans="1:16" ht="20.25" customHeight="1">
      <c r="A205" s="63">
        <v>201</v>
      </c>
      <c r="B205" s="63">
        <v>6</v>
      </c>
      <c r="C205" s="62" t="s">
        <v>47</v>
      </c>
      <c r="D205" s="131" t="s">
        <v>457</v>
      </c>
      <c r="E205" s="66">
        <v>65108.001738484294</v>
      </c>
      <c r="F205" s="77" t="s">
        <v>91</v>
      </c>
      <c r="G205" s="68">
        <v>67856</v>
      </c>
      <c r="H205" s="72" t="s">
        <v>116</v>
      </c>
      <c r="I205" s="88" t="s">
        <v>454</v>
      </c>
      <c r="J205" s="132">
        <v>65108.001738484294</v>
      </c>
      <c r="K205" s="132">
        <v>67856</v>
      </c>
      <c r="L205" s="133">
        <v>1.0422067670353858</v>
      </c>
      <c r="M205" s="132">
        <v>52430</v>
      </c>
      <c r="N205" s="134">
        <v>0.80527736376540437</v>
      </c>
      <c r="O205" s="132">
        <v>12678.001738484294</v>
      </c>
      <c r="P205" s="133">
        <v>0.19472263623459557</v>
      </c>
    </row>
    <row r="206" spans="1:16" ht="20.25" customHeight="1">
      <c r="A206" s="63">
        <v>202</v>
      </c>
      <c r="B206" s="63">
        <v>7</v>
      </c>
      <c r="C206" s="62" t="s">
        <v>47</v>
      </c>
      <c r="D206" s="131" t="s">
        <v>458</v>
      </c>
      <c r="E206" s="66">
        <v>66526.662719224652</v>
      </c>
      <c r="F206" s="78" t="s">
        <v>91</v>
      </c>
      <c r="G206" s="68">
        <v>58913</v>
      </c>
      <c r="H206" s="72" t="s">
        <v>116</v>
      </c>
      <c r="I206" s="88" t="s">
        <v>149</v>
      </c>
      <c r="J206" s="132">
        <v>66526.662719224652</v>
      </c>
      <c r="K206" s="132">
        <v>58913</v>
      </c>
      <c r="L206" s="133">
        <v>0.88555471734155577</v>
      </c>
      <c r="M206" s="132">
        <v>52960</v>
      </c>
      <c r="N206" s="134">
        <v>0.79607179791232485</v>
      </c>
      <c r="O206" s="132">
        <v>13566.662719224652</v>
      </c>
      <c r="P206" s="133">
        <v>0.2039282020876752</v>
      </c>
    </row>
    <row r="207" spans="1:16" ht="20.25" customHeight="1">
      <c r="A207" s="63">
        <v>203</v>
      </c>
      <c r="B207" s="63">
        <v>8</v>
      </c>
      <c r="C207" s="62" t="s">
        <v>47</v>
      </c>
      <c r="D207" s="131" t="s">
        <v>459</v>
      </c>
      <c r="E207" s="66">
        <v>59379.33971994579</v>
      </c>
      <c r="F207" s="77" t="s">
        <v>91</v>
      </c>
      <c r="G207" s="68">
        <v>56530</v>
      </c>
      <c r="H207" s="72" t="s">
        <v>116</v>
      </c>
      <c r="I207" s="88" t="s">
        <v>262</v>
      </c>
      <c r="J207" s="132">
        <v>59379.33971994579</v>
      </c>
      <c r="K207" s="132">
        <v>56530</v>
      </c>
      <c r="L207" s="133">
        <v>0.95201462775799972</v>
      </c>
      <c r="M207" s="132">
        <v>53792</v>
      </c>
      <c r="N207" s="134">
        <v>0.9059043137512528</v>
      </c>
      <c r="O207" s="132">
        <v>5587.3397199457904</v>
      </c>
      <c r="P207" s="133">
        <v>9.4095686248747187E-2</v>
      </c>
    </row>
    <row r="208" spans="1:16" ht="20.25" customHeight="1">
      <c r="A208" s="63">
        <v>204</v>
      </c>
      <c r="B208" s="63">
        <v>9</v>
      </c>
      <c r="C208" s="62" t="s">
        <v>47</v>
      </c>
      <c r="D208" s="131" t="s">
        <v>460</v>
      </c>
      <c r="E208" s="66">
        <v>90776.136106103586</v>
      </c>
      <c r="F208" s="78" t="s">
        <v>91</v>
      </c>
      <c r="G208" s="68">
        <v>71949</v>
      </c>
      <c r="H208" s="72" t="s">
        <v>116</v>
      </c>
      <c r="I208" s="88" t="s">
        <v>461</v>
      </c>
      <c r="J208" s="132">
        <v>90776.136106103586</v>
      </c>
      <c r="K208" s="132">
        <v>71949</v>
      </c>
      <c r="L208" s="133">
        <v>0.79259817707929858</v>
      </c>
      <c r="M208" s="132">
        <v>65956</v>
      </c>
      <c r="N208" s="134">
        <v>0.72657862329486467</v>
      </c>
      <c r="O208" s="132">
        <v>24820.136106103586</v>
      </c>
      <c r="P208" s="133">
        <v>0.27342137670513533</v>
      </c>
    </row>
    <row r="209" spans="1:16" ht="20.25" customHeight="1">
      <c r="A209" s="63">
        <v>205</v>
      </c>
      <c r="B209" s="63">
        <v>10</v>
      </c>
      <c r="C209" s="62" t="s">
        <v>47</v>
      </c>
      <c r="D209" s="131" t="s">
        <v>462</v>
      </c>
      <c r="E209" s="66">
        <v>26409.936588185781</v>
      </c>
      <c r="F209" s="77" t="s">
        <v>91</v>
      </c>
      <c r="G209" s="68">
        <v>24086.05</v>
      </c>
      <c r="H209" s="72" t="s">
        <v>97</v>
      </c>
      <c r="I209" s="88" t="s">
        <v>463</v>
      </c>
      <c r="J209" s="132">
        <v>26409.936588185781</v>
      </c>
      <c r="K209" s="132">
        <v>24086.05</v>
      </c>
      <c r="L209" s="133">
        <v>0.91200711215545482</v>
      </c>
      <c r="M209" s="132">
        <v>23293.876551455178</v>
      </c>
      <c r="N209" s="134">
        <v>0.88201183193584265</v>
      </c>
      <c r="O209" s="132">
        <v>3116.0600367306033</v>
      </c>
      <c r="P209" s="133">
        <v>0.11798816806415739</v>
      </c>
    </row>
    <row r="210" spans="1:16" ht="20.25" customHeight="1">
      <c r="A210" s="63">
        <v>206</v>
      </c>
      <c r="B210" s="63">
        <v>11</v>
      </c>
      <c r="C210" s="62" t="s">
        <v>47</v>
      </c>
      <c r="D210" s="131" t="s">
        <v>464</v>
      </c>
      <c r="E210" s="66">
        <v>22268.698337961141</v>
      </c>
      <c r="F210" s="78" t="s">
        <v>91</v>
      </c>
      <c r="G210" s="68">
        <v>23618</v>
      </c>
      <c r="H210" s="72" t="s">
        <v>116</v>
      </c>
      <c r="I210" s="88" t="s">
        <v>465</v>
      </c>
      <c r="J210" s="132">
        <v>22268.698337961141</v>
      </c>
      <c r="K210" s="132">
        <v>23618</v>
      </c>
      <c r="L210" s="133">
        <v>1.0605918514661776</v>
      </c>
      <c r="M210" s="132">
        <v>15565</v>
      </c>
      <c r="N210" s="134">
        <v>0.6989631708049393</v>
      </c>
      <c r="O210" s="132">
        <v>6703.6983379611411</v>
      </c>
      <c r="P210" s="133">
        <v>0.30103682919506075</v>
      </c>
    </row>
    <row r="211" spans="1:16" ht="20.25" customHeight="1">
      <c r="A211" s="63">
        <v>207</v>
      </c>
      <c r="B211" s="63">
        <v>12</v>
      </c>
      <c r="C211" s="62" t="s">
        <v>47</v>
      </c>
      <c r="D211" s="131" t="s">
        <v>466</v>
      </c>
      <c r="E211" s="66">
        <v>44085.109809824826</v>
      </c>
      <c r="F211" s="77" t="s">
        <v>91</v>
      </c>
      <c r="G211" s="68">
        <v>86308.28</v>
      </c>
      <c r="H211" s="72" t="s">
        <v>97</v>
      </c>
      <c r="I211" s="88" t="s">
        <v>467</v>
      </c>
      <c r="J211" s="132">
        <v>44085.109809824826</v>
      </c>
      <c r="K211" s="132">
        <v>86308.28</v>
      </c>
      <c r="L211" s="133">
        <v>1.9577648864280541</v>
      </c>
      <c r="M211" s="132">
        <v>41427.314260758096</v>
      </c>
      <c r="N211" s="134">
        <v>0.93971217128567952</v>
      </c>
      <c r="O211" s="132">
        <v>2657.79554906673</v>
      </c>
      <c r="P211" s="133">
        <v>6.0287828714320514E-2</v>
      </c>
    </row>
    <row r="212" spans="1:16" ht="20.25" customHeight="1">
      <c r="A212" s="63">
        <v>208</v>
      </c>
      <c r="B212" s="63">
        <v>13</v>
      </c>
      <c r="C212" s="62" t="s">
        <v>47</v>
      </c>
      <c r="D212" s="131" t="s">
        <v>468</v>
      </c>
      <c r="E212" s="66">
        <v>24334.791728148804</v>
      </c>
      <c r="F212" s="78" t="s">
        <v>91</v>
      </c>
      <c r="G212" s="68">
        <v>25000</v>
      </c>
      <c r="H212" s="72" t="s">
        <v>116</v>
      </c>
      <c r="I212" s="88" t="s">
        <v>262</v>
      </c>
      <c r="J212" s="132">
        <v>24334.791728148804</v>
      </c>
      <c r="K212" s="132">
        <v>25000</v>
      </c>
      <c r="L212" s="133">
        <v>1.0273356879024254</v>
      </c>
      <c r="M212" s="132">
        <v>20134</v>
      </c>
      <c r="N212" s="134">
        <v>0.82737506960909724</v>
      </c>
      <c r="O212" s="132">
        <v>4200.7917281488044</v>
      </c>
      <c r="P212" s="133">
        <v>0.17262493039090279</v>
      </c>
    </row>
    <row r="213" spans="1:16" ht="20.25" customHeight="1">
      <c r="A213" s="63">
        <v>209</v>
      </c>
      <c r="B213" s="63">
        <v>14</v>
      </c>
      <c r="C213" s="62" t="s">
        <v>47</v>
      </c>
      <c r="D213" s="131" t="s">
        <v>469</v>
      </c>
      <c r="E213" s="66">
        <v>31705.462726412577</v>
      </c>
      <c r="F213" s="77" t="s">
        <v>91</v>
      </c>
      <c r="G213" s="68">
        <v>32000</v>
      </c>
      <c r="H213" s="72" t="s">
        <v>116</v>
      </c>
      <c r="I213" s="88" t="s">
        <v>470</v>
      </c>
      <c r="J213" s="132">
        <v>31705.462726412577</v>
      </c>
      <c r="K213" s="132">
        <v>32000</v>
      </c>
      <c r="L213" s="133">
        <v>1.0092897957720723</v>
      </c>
      <c r="M213" s="132">
        <v>25590</v>
      </c>
      <c r="N213" s="134">
        <v>0.807116433556479</v>
      </c>
      <c r="O213" s="132">
        <v>6115.4627264125775</v>
      </c>
      <c r="P213" s="133">
        <v>0.19288356644352095</v>
      </c>
    </row>
    <row r="214" spans="1:16" ht="20.25" customHeight="1">
      <c r="A214" s="63">
        <v>210</v>
      </c>
      <c r="B214" s="63">
        <v>21</v>
      </c>
      <c r="C214" s="62" t="s">
        <v>47</v>
      </c>
      <c r="D214" s="131" t="s">
        <v>471</v>
      </c>
      <c r="E214" s="66">
        <v>19984.066232970941</v>
      </c>
      <c r="F214" s="78" t="s">
        <v>91</v>
      </c>
      <c r="G214" s="68">
        <v>20005</v>
      </c>
      <c r="H214" s="72" t="s">
        <v>116</v>
      </c>
      <c r="I214" s="88" t="s">
        <v>159</v>
      </c>
      <c r="J214" s="132">
        <v>19984.066232970941</v>
      </c>
      <c r="K214" s="132">
        <v>20005</v>
      </c>
      <c r="L214" s="133">
        <v>1.0010475229007458</v>
      </c>
      <c r="M214" s="132">
        <v>15100.944998999999</v>
      </c>
      <c r="N214" s="134">
        <v>0.75564926691873813</v>
      </c>
      <c r="O214" s="132">
        <v>4883.1212339709418</v>
      </c>
      <c r="P214" s="133">
        <v>0.24435073308126193</v>
      </c>
    </row>
    <row r="215" spans="1:16" ht="20.25" customHeight="1">
      <c r="A215" s="63">
        <v>211</v>
      </c>
      <c r="B215" s="63">
        <v>22</v>
      </c>
      <c r="C215" s="62" t="s">
        <v>47</v>
      </c>
      <c r="D215" s="131" t="s">
        <v>472</v>
      </c>
      <c r="E215" s="66">
        <v>28690.964144130765</v>
      </c>
      <c r="F215" s="77" t="s">
        <v>91</v>
      </c>
      <c r="G215" s="68">
        <v>25268.720000000001</v>
      </c>
      <c r="H215" s="72" t="s">
        <v>97</v>
      </c>
      <c r="I215" s="88" t="s">
        <v>473</v>
      </c>
      <c r="J215" s="132">
        <v>28690.964144130765</v>
      </c>
      <c r="K215" s="132">
        <v>25268.720000000001</v>
      </c>
      <c r="L215" s="133">
        <v>0.88072049001424568</v>
      </c>
      <c r="M215" s="132">
        <v>25284</v>
      </c>
      <c r="N215" s="134">
        <v>0.8812530618693859</v>
      </c>
      <c r="O215" s="132">
        <v>3406.9641441307649</v>
      </c>
      <c r="P215" s="133">
        <v>0.11874693813061415</v>
      </c>
    </row>
    <row r="216" spans="1:16" ht="20.25" customHeight="1">
      <c r="A216" s="63">
        <v>212</v>
      </c>
      <c r="B216" s="63">
        <v>23</v>
      </c>
      <c r="C216" s="62" t="s">
        <v>47</v>
      </c>
      <c r="D216" s="131" t="s">
        <v>474</v>
      </c>
      <c r="E216" s="66">
        <v>59470.72187178921</v>
      </c>
      <c r="F216" s="78" t="s">
        <v>91</v>
      </c>
      <c r="G216" s="68">
        <v>56881</v>
      </c>
      <c r="H216" s="72" t="s">
        <v>116</v>
      </c>
      <c r="I216" s="88" t="s">
        <v>243</v>
      </c>
      <c r="J216" s="132">
        <v>59470.72187178921</v>
      </c>
      <c r="K216" s="132">
        <v>56881</v>
      </c>
      <c r="L216" s="133">
        <v>0.95645383492448099</v>
      </c>
      <c r="M216" s="132">
        <v>49514</v>
      </c>
      <c r="N216" s="134">
        <v>0.83257775324714323</v>
      </c>
      <c r="O216" s="132">
        <v>9956.7218717892101</v>
      </c>
      <c r="P216" s="133">
        <v>0.16742224675285677</v>
      </c>
    </row>
    <row r="217" spans="1:16" ht="20.25" customHeight="1">
      <c r="A217" s="63">
        <v>213</v>
      </c>
      <c r="B217" s="63">
        <v>24</v>
      </c>
      <c r="C217" s="62" t="s">
        <v>47</v>
      </c>
      <c r="D217" s="131" t="s">
        <v>475</v>
      </c>
      <c r="E217" s="66">
        <v>22431.444152461918</v>
      </c>
      <c r="F217" s="77" t="s">
        <v>91</v>
      </c>
      <c r="G217" s="68">
        <v>22211</v>
      </c>
      <c r="H217" s="72" t="s">
        <v>116</v>
      </c>
      <c r="I217" s="88" t="s">
        <v>293</v>
      </c>
      <c r="J217" s="132">
        <v>22431.444152461918</v>
      </c>
      <c r="K217" s="132">
        <v>22211</v>
      </c>
      <c r="L217" s="133">
        <v>0.99017253855955045</v>
      </c>
      <c r="M217" s="132">
        <v>15310</v>
      </c>
      <c r="N217" s="134">
        <v>0.68252404508336939</v>
      </c>
      <c r="O217" s="132">
        <v>7121.4441524619178</v>
      </c>
      <c r="P217" s="133">
        <v>0.31747595491663066</v>
      </c>
    </row>
    <row r="218" spans="1:16" ht="20.25" customHeight="1">
      <c r="A218" s="63">
        <v>214</v>
      </c>
      <c r="B218" s="63">
        <v>25</v>
      </c>
      <c r="C218" s="62" t="s">
        <v>47</v>
      </c>
      <c r="D218" s="131" t="s">
        <v>476</v>
      </c>
      <c r="E218" s="66">
        <v>35527.564209068856</v>
      </c>
      <c r="F218" s="78" t="s">
        <v>91</v>
      </c>
      <c r="G218" s="68">
        <v>34299</v>
      </c>
      <c r="H218" s="72" t="s">
        <v>116</v>
      </c>
      <c r="I218" s="88" t="s">
        <v>151</v>
      </c>
      <c r="J218" s="132">
        <v>35527.564209068856</v>
      </c>
      <c r="K218" s="132">
        <v>34299</v>
      </c>
      <c r="L218" s="133">
        <v>0.96541940781982316</v>
      </c>
      <c r="M218" s="132">
        <v>28196</v>
      </c>
      <c r="N218" s="134">
        <v>0.79363729621527546</v>
      </c>
      <c r="O218" s="132">
        <v>7331.5642090688561</v>
      </c>
      <c r="P218" s="133">
        <v>0.20636270378472449</v>
      </c>
    </row>
    <row r="219" spans="1:16" ht="20.25" customHeight="1">
      <c r="A219" s="63">
        <v>215</v>
      </c>
      <c r="B219" s="63">
        <v>26</v>
      </c>
      <c r="C219" s="62" t="s">
        <v>47</v>
      </c>
      <c r="D219" s="131" t="s">
        <v>477</v>
      </c>
      <c r="E219" s="66">
        <v>19695.40733450132</v>
      </c>
      <c r="F219" s="77" t="s">
        <v>91</v>
      </c>
      <c r="G219" s="68">
        <v>18584</v>
      </c>
      <c r="H219" s="72" t="s">
        <v>116</v>
      </c>
      <c r="I219" s="88" t="s">
        <v>478</v>
      </c>
      <c r="J219" s="132">
        <v>19695.40733450132</v>
      </c>
      <c r="K219" s="132">
        <v>18584</v>
      </c>
      <c r="L219" s="133">
        <v>0.94357022854996153</v>
      </c>
      <c r="M219" s="132">
        <v>16716</v>
      </c>
      <c r="N219" s="134">
        <v>0.84872578241719532</v>
      </c>
      <c r="O219" s="132">
        <v>2979.4073345013203</v>
      </c>
      <c r="P219" s="133">
        <v>0.15127421758280471</v>
      </c>
    </row>
    <row r="220" spans="1:16" ht="20.25" customHeight="1">
      <c r="A220" s="63">
        <v>216</v>
      </c>
      <c r="B220" s="63">
        <v>27</v>
      </c>
      <c r="C220" s="62" t="s">
        <v>47</v>
      </c>
      <c r="D220" s="131" t="s">
        <v>479</v>
      </c>
      <c r="E220" s="66">
        <v>29796.250619556002</v>
      </c>
      <c r="F220" s="78" t="s">
        <v>91</v>
      </c>
      <c r="G220" s="68">
        <v>29273</v>
      </c>
      <c r="H220" s="72" t="s">
        <v>116</v>
      </c>
      <c r="I220" s="88" t="s">
        <v>470</v>
      </c>
      <c r="J220" s="132">
        <v>29796.250619556002</v>
      </c>
      <c r="K220" s="132">
        <v>29273</v>
      </c>
      <c r="L220" s="133">
        <v>0.98243904489068234</v>
      </c>
      <c r="M220" s="132">
        <v>26811</v>
      </c>
      <c r="N220" s="134">
        <v>0.89981119914474372</v>
      </c>
      <c r="O220" s="132">
        <v>2985.2506195560018</v>
      </c>
      <c r="P220" s="133">
        <v>0.10018880085525625</v>
      </c>
    </row>
    <row r="221" spans="1:16" ht="20.25" customHeight="1">
      <c r="A221" s="63">
        <v>217</v>
      </c>
      <c r="B221" s="63">
        <v>28</v>
      </c>
      <c r="C221" s="62" t="s">
        <v>47</v>
      </c>
      <c r="D221" s="131" t="s">
        <v>480</v>
      </c>
      <c r="E221" s="66">
        <v>38016.624463232241</v>
      </c>
      <c r="F221" s="77" t="s">
        <v>91</v>
      </c>
      <c r="G221" s="68">
        <v>32736.74</v>
      </c>
      <c r="H221" s="72" t="s">
        <v>97</v>
      </c>
      <c r="I221" s="88" t="s">
        <v>481</v>
      </c>
      <c r="J221" s="132">
        <v>38016.624463232241</v>
      </c>
      <c r="K221" s="132">
        <v>32736.74</v>
      </c>
      <c r="L221" s="133">
        <v>0.8611164316195753</v>
      </c>
      <c r="M221" s="132">
        <v>30197.4659615987</v>
      </c>
      <c r="N221" s="134">
        <v>0.79432265194412943</v>
      </c>
      <c r="O221" s="132">
        <v>7819.1585016335412</v>
      </c>
      <c r="P221" s="133">
        <v>0.20567734805587057</v>
      </c>
    </row>
    <row r="222" spans="1:16" ht="20.25" customHeight="1">
      <c r="A222" s="63">
        <v>218</v>
      </c>
      <c r="B222" s="63">
        <v>29</v>
      </c>
      <c r="C222" s="62" t="s">
        <v>47</v>
      </c>
      <c r="D222" s="131" t="s">
        <v>482</v>
      </c>
      <c r="E222" s="66">
        <v>22033.987595084003</v>
      </c>
      <c r="F222" s="78" t="s">
        <v>91</v>
      </c>
      <c r="G222" s="68">
        <v>17869.990000000002</v>
      </c>
      <c r="H222" s="72" t="s">
        <v>97</v>
      </c>
      <c r="I222" s="88" t="s">
        <v>483</v>
      </c>
      <c r="J222" s="132">
        <v>22033.987595084003</v>
      </c>
      <c r="K222" s="132">
        <v>17869.990000000002</v>
      </c>
      <c r="L222" s="133">
        <v>0.81101933650842983</v>
      </c>
      <c r="M222" s="132">
        <v>17192</v>
      </c>
      <c r="N222" s="134">
        <v>0.78024914581669735</v>
      </c>
      <c r="O222" s="132">
        <v>4841.9875950840033</v>
      </c>
      <c r="P222" s="133">
        <v>0.21975085418330262</v>
      </c>
    </row>
    <row r="223" spans="1:16" ht="20.25" customHeight="1">
      <c r="A223" s="63">
        <v>219</v>
      </c>
      <c r="B223" s="63">
        <v>30</v>
      </c>
      <c r="C223" s="62" t="s">
        <v>47</v>
      </c>
      <c r="D223" s="131" t="s">
        <v>484</v>
      </c>
      <c r="E223" s="66">
        <v>45222.027009312609</v>
      </c>
      <c r="F223" s="77" t="s">
        <v>91</v>
      </c>
      <c r="G223" s="68">
        <v>42286</v>
      </c>
      <c r="H223" s="72" t="s">
        <v>116</v>
      </c>
      <c r="I223" s="88" t="s">
        <v>262</v>
      </c>
      <c r="J223" s="132">
        <v>45222.027009312609</v>
      </c>
      <c r="K223" s="132">
        <v>42286</v>
      </c>
      <c r="L223" s="133">
        <v>0.93507528955506591</v>
      </c>
      <c r="M223" s="132">
        <v>33703</v>
      </c>
      <c r="N223" s="134">
        <v>0.74527840145377633</v>
      </c>
      <c r="O223" s="132">
        <v>11519.027009312609</v>
      </c>
      <c r="P223" s="133">
        <v>0.25472159854622367</v>
      </c>
    </row>
    <row r="224" spans="1:16" ht="20.25" customHeight="1">
      <c r="A224" s="63">
        <v>220</v>
      </c>
      <c r="B224" s="63">
        <v>31</v>
      </c>
      <c r="C224" s="62" t="s">
        <v>47</v>
      </c>
      <c r="D224" s="131" t="s">
        <v>485</v>
      </c>
      <c r="E224" s="66">
        <v>21824.760996559868</v>
      </c>
      <c r="F224" s="78" t="s">
        <v>91</v>
      </c>
      <c r="G224" s="68">
        <v>23742</v>
      </c>
      <c r="H224" s="72" t="s">
        <v>116</v>
      </c>
      <c r="I224" s="88" t="s">
        <v>151</v>
      </c>
      <c r="J224" s="132">
        <v>21824.760996559868</v>
      </c>
      <c r="K224" s="132">
        <v>23742</v>
      </c>
      <c r="L224" s="133">
        <v>1.0878469644520889</v>
      </c>
      <c r="M224" s="132">
        <v>17596</v>
      </c>
      <c r="N224" s="134">
        <v>0.80624021508293142</v>
      </c>
      <c r="O224" s="132">
        <v>4228.7609965598676</v>
      </c>
      <c r="P224" s="133">
        <v>0.19375978491706861</v>
      </c>
    </row>
    <row r="225" spans="1:16" ht="20.25" customHeight="1">
      <c r="A225" s="63">
        <v>221</v>
      </c>
      <c r="B225" s="63">
        <v>32</v>
      </c>
      <c r="C225" s="62" t="s">
        <v>47</v>
      </c>
      <c r="D225" s="131" t="s">
        <v>486</v>
      </c>
      <c r="E225" s="66">
        <v>38965.168565923668</v>
      </c>
      <c r="F225" s="77" t="s">
        <v>91</v>
      </c>
      <c r="G225" s="68">
        <v>83146</v>
      </c>
      <c r="H225" s="72" t="s">
        <v>97</v>
      </c>
      <c r="I225" s="88" t="s">
        <v>487</v>
      </c>
      <c r="J225" s="132">
        <v>38965.168565923668</v>
      </c>
      <c r="K225" s="132">
        <v>83146</v>
      </c>
      <c r="L225" s="133">
        <v>2.1338544926176435</v>
      </c>
      <c r="M225" s="132">
        <v>36322</v>
      </c>
      <c r="N225" s="134">
        <v>0.93216586343129015</v>
      </c>
      <c r="O225" s="132">
        <v>2643.1685659236682</v>
      </c>
      <c r="P225" s="133">
        <v>6.7834136568709902E-2</v>
      </c>
    </row>
    <row r="226" spans="1:16" ht="20.25" customHeight="1">
      <c r="A226" s="63">
        <v>222</v>
      </c>
      <c r="B226" s="63">
        <v>33</v>
      </c>
      <c r="C226" s="62" t="s">
        <v>47</v>
      </c>
      <c r="D226" s="131" t="s">
        <v>488</v>
      </c>
      <c r="E226" s="66">
        <v>17641.686535735011</v>
      </c>
      <c r="F226" s="78" t="s">
        <v>91</v>
      </c>
      <c r="G226" s="68">
        <v>25709</v>
      </c>
      <c r="H226" s="72" t="s">
        <v>126</v>
      </c>
      <c r="I226" s="88" t="s">
        <v>489</v>
      </c>
      <c r="J226" s="132">
        <v>17641.686535735011</v>
      </c>
      <c r="K226" s="132">
        <v>25709</v>
      </c>
      <c r="L226" s="133">
        <v>1.4572869746848656</v>
      </c>
      <c r="M226" s="132">
        <v>13763</v>
      </c>
      <c r="N226" s="134">
        <v>0.78014083132707635</v>
      </c>
      <c r="O226" s="132">
        <v>3878.6865357350107</v>
      </c>
      <c r="P226" s="133">
        <v>0.21985916867292371</v>
      </c>
    </row>
    <row r="227" spans="1:16" ht="20.25" customHeight="1">
      <c r="A227" s="63">
        <v>223</v>
      </c>
      <c r="B227" s="63">
        <v>34</v>
      </c>
      <c r="C227" s="62" t="s">
        <v>47</v>
      </c>
      <c r="D227" s="131" t="s">
        <v>490</v>
      </c>
      <c r="E227" s="66">
        <v>44069.931506076828</v>
      </c>
      <c r="F227" s="77" t="s">
        <v>91</v>
      </c>
      <c r="G227" s="68">
        <v>42076</v>
      </c>
      <c r="H227" s="72" t="s">
        <v>116</v>
      </c>
      <c r="I227" s="88" t="s">
        <v>389</v>
      </c>
      <c r="J227" s="132">
        <v>44069.931506076828</v>
      </c>
      <c r="K227" s="132">
        <v>42076</v>
      </c>
      <c r="L227" s="133">
        <v>0.95475528465929471</v>
      </c>
      <c r="M227" s="132">
        <v>42038</v>
      </c>
      <c r="N227" s="134">
        <v>0.95389301874007582</v>
      </c>
      <c r="O227" s="132">
        <v>2031.9315060768276</v>
      </c>
      <c r="P227" s="133">
        <v>4.6106981259924205E-2</v>
      </c>
    </row>
    <row r="228" spans="1:16" ht="20.25" customHeight="1">
      <c r="A228" s="63">
        <v>224</v>
      </c>
      <c r="B228" s="63">
        <v>35</v>
      </c>
      <c r="C228" s="62" t="s">
        <v>47</v>
      </c>
      <c r="D228" s="131" t="s">
        <v>491</v>
      </c>
      <c r="E228" s="66">
        <v>12043.539308507035</v>
      </c>
      <c r="F228" s="78" t="s">
        <v>91</v>
      </c>
      <c r="G228" s="68">
        <v>10168.57</v>
      </c>
      <c r="H228" s="72" t="s">
        <v>97</v>
      </c>
      <c r="I228" s="88" t="s">
        <v>492</v>
      </c>
      <c r="J228" s="132">
        <v>12043.539308507035</v>
      </c>
      <c r="K228" s="132">
        <v>10168.57</v>
      </c>
      <c r="L228" s="133">
        <v>0.84431741695876406</v>
      </c>
      <c r="M228" s="132">
        <v>9590</v>
      </c>
      <c r="N228" s="134">
        <v>0.79627755216658269</v>
      </c>
      <c r="O228" s="132">
        <v>2453.5393085070355</v>
      </c>
      <c r="P228" s="133">
        <v>0.20372244783341731</v>
      </c>
    </row>
    <row r="229" spans="1:16" ht="20.25" customHeight="1">
      <c r="A229" s="63">
        <v>225</v>
      </c>
      <c r="B229" s="63">
        <v>15</v>
      </c>
      <c r="C229" s="62" t="s">
        <v>47</v>
      </c>
      <c r="D229" s="131" t="s">
        <v>493</v>
      </c>
      <c r="E229" s="66">
        <v>170.95386731419504</v>
      </c>
      <c r="F229" s="77" t="s">
        <v>91</v>
      </c>
      <c r="G229" s="68">
        <v>63</v>
      </c>
      <c r="H229" s="72" t="s">
        <v>116</v>
      </c>
      <c r="I229" s="88" t="s">
        <v>389</v>
      </c>
      <c r="J229" s="132">
        <v>170.95386731419504</v>
      </c>
      <c r="K229" s="132">
        <v>63</v>
      </c>
      <c r="L229" s="133">
        <v>0.3685204727437531</v>
      </c>
      <c r="M229" s="132">
        <v>59</v>
      </c>
      <c r="N229" s="134">
        <v>0.3451223474901815</v>
      </c>
      <c r="O229" s="132">
        <v>111.95386731419504</v>
      </c>
      <c r="P229" s="133">
        <v>0.65487765250981855</v>
      </c>
    </row>
    <row r="230" spans="1:16" ht="20.25" customHeight="1">
      <c r="A230" s="63">
        <v>226</v>
      </c>
      <c r="B230" s="63">
        <v>16</v>
      </c>
      <c r="C230" s="62" t="s">
        <v>47</v>
      </c>
      <c r="D230" s="131" t="s">
        <v>494</v>
      </c>
      <c r="E230" s="66">
        <v>955.78232036645784</v>
      </c>
      <c r="F230" s="78" t="s">
        <v>91</v>
      </c>
      <c r="G230" s="68">
        <v>521</v>
      </c>
      <c r="H230" s="72" t="s">
        <v>116</v>
      </c>
      <c r="I230" s="88" t="s">
        <v>392</v>
      </c>
      <c r="J230" s="132">
        <v>955.78232036645784</v>
      </c>
      <c r="K230" s="132">
        <v>521</v>
      </c>
      <c r="L230" s="133">
        <v>0.54510319860304868</v>
      </c>
      <c r="M230" s="132">
        <v>498</v>
      </c>
      <c r="N230" s="134">
        <v>0.52103914185089872</v>
      </c>
      <c r="O230" s="132">
        <v>457.78232036645784</v>
      </c>
      <c r="P230" s="133">
        <v>0.47896085814910122</v>
      </c>
    </row>
    <row r="231" spans="1:16" ht="20.25" customHeight="1">
      <c r="A231" s="63">
        <v>227</v>
      </c>
      <c r="B231" s="63">
        <v>17</v>
      </c>
      <c r="C231" s="62" t="s">
        <v>47</v>
      </c>
      <c r="D231" s="131" t="s">
        <v>495</v>
      </c>
      <c r="E231" s="66">
        <v>623.50063346359082</v>
      </c>
      <c r="F231" s="77" t="s">
        <v>104</v>
      </c>
      <c r="G231" s="68">
        <v>417</v>
      </c>
      <c r="H231" s="72" t="s">
        <v>116</v>
      </c>
      <c r="I231" s="88" t="s">
        <v>267</v>
      </c>
      <c r="J231" s="132">
        <v>623.50063346359082</v>
      </c>
      <c r="K231" s="132">
        <v>417</v>
      </c>
      <c r="L231" s="133">
        <v>0.6688044528255489</v>
      </c>
      <c r="M231" s="132"/>
      <c r="N231" s="134">
        <v>0</v>
      </c>
      <c r="O231" s="132">
        <v>623.50063346359082</v>
      </c>
      <c r="P231" s="133">
        <v>1</v>
      </c>
    </row>
    <row r="232" spans="1:16" ht="20.25" customHeight="1">
      <c r="A232" s="63">
        <v>228</v>
      </c>
      <c r="B232" s="63">
        <v>18</v>
      </c>
      <c r="C232" s="62" t="s">
        <v>47</v>
      </c>
      <c r="D232" s="131" t="s">
        <v>496</v>
      </c>
      <c r="E232" s="66">
        <v>2645.0035349671075</v>
      </c>
      <c r="F232" s="78" t="s">
        <v>91</v>
      </c>
      <c r="G232" s="68">
        <v>2602</v>
      </c>
      <c r="H232" s="72" t="s">
        <v>116</v>
      </c>
      <c r="I232" s="88" t="s">
        <v>304</v>
      </c>
      <c r="J232" s="132">
        <v>2645.0035349671075</v>
      </c>
      <c r="K232" s="132">
        <v>2602</v>
      </c>
      <c r="L232" s="133">
        <v>0.98374159641051584</v>
      </c>
      <c r="M232" s="132">
        <v>1285</v>
      </c>
      <c r="N232" s="134">
        <v>0.48582165695138851</v>
      </c>
      <c r="O232" s="132">
        <v>1360.0035349671075</v>
      </c>
      <c r="P232" s="133">
        <v>0.51417834304861154</v>
      </c>
    </row>
    <row r="233" spans="1:16" ht="20.25" customHeight="1">
      <c r="A233" s="63">
        <v>229</v>
      </c>
      <c r="B233" s="63">
        <v>19</v>
      </c>
      <c r="C233" s="62" t="s">
        <v>47</v>
      </c>
      <c r="D233" s="131" t="s">
        <v>497</v>
      </c>
      <c r="E233" s="66">
        <v>80.500914743999957</v>
      </c>
      <c r="F233" s="77" t="s">
        <v>123</v>
      </c>
      <c r="G233" s="68">
        <v>0</v>
      </c>
      <c r="H233" s="72" t="s">
        <v>116</v>
      </c>
      <c r="I233" s="88" t="s">
        <v>498</v>
      </c>
      <c r="J233" s="132">
        <v>80.500914743999957</v>
      </c>
      <c r="K233" s="132">
        <v>0</v>
      </c>
      <c r="L233" s="133">
        <v>0</v>
      </c>
      <c r="M233" s="132"/>
      <c r="N233" s="134">
        <v>0</v>
      </c>
      <c r="O233" s="132">
        <v>80.500914743999957</v>
      </c>
      <c r="P233" s="133">
        <v>1</v>
      </c>
    </row>
    <row r="234" spans="1:16" ht="20.25" customHeight="1">
      <c r="A234" s="63">
        <v>230</v>
      </c>
      <c r="B234" s="63">
        <v>20</v>
      </c>
      <c r="C234" s="62" t="s">
        <v>47</v>
      </c>
      <c r="D234" s="131" t="s">
        <v>499</v>
      </c>
      <c r="E234" s="66">
        <v>592.76015424270008</v>
      </c>
      <c r="F234" s="78" t="s">
        <v>91</v>
      </c>
      <c r="G234" s="68">
        <v>382</v>
      </c>
      <c r="H234" s="72" t="s">
        <v>116</v>
      </c>
      <c r="I234" s="88" t="s">
        <v>149</v>
      </c>
      <c r="J234" s="132">
        <v>592.76015424270008</v>
      </c>
      <c r="K234" s="132">
        <v>382</v>
      </c>
      <c r="L234" s="133">
        <v>0.64444277717694509</v>
      </c>
      <c r="M234" s="132">
        <v>363</v>
      </c>
      <c r="N234" s="134">
        <v>0.6123893406157882</v>
      </c>
      <c r="O234" s="132">
        <v>229.76015424270008</v>
      </c>
      <c r="P234" s="133">
        <v>0.3876106593842118</v>
      </c>
    </row>
    <row r="235" spans="1:16" ht="20.25" customHeight="1">
      <c r="A235" s="63">
        <v>231</v>
      </c>
      <c r="B235" s="63">
        <v>1</v>
      </c>
      <c r="C235" s="62" t="s">
        <v>500</v>
      </c>
      <c r="D235" s="131" t="s">
        <v>501</v>
      </c>
      <c r="E235" s="66">
        <v>14945.185157916847</v>
      </c>
      <c r="F235" s="77" t="s">
        <v>91</v>
      </c>
      <c r="G235" s="68">
        <v>38150.020000000004</v>
      </c>
      <c r="H235" s="72" t="s">
        <v>97</v>
      </c>
      <c r="I235" s="88" t="s">
        <v>502</v>
      </c>
      <c r="J235" s="132">
        <v>14945.185157916847</v>
      </c>
      <c r="K235" s="132">
        <v>38150.020000000004</v>
      </c>
      <c r="L235" s="133">
        <v>2.5526629209937197</v>
      </c>
      <c r="M235" s="132">
        <v>13326</v>
      </c>
      <c r="N235" s="134">
        <v>0.89165840765384408</v>
      </c>
      <c r="O235" s="132">
        <v>1619.1851579168469</v>
      </c>
      <c r="P235" s="133">
        <v>0.10834159234615592</v>
      </c>
    </row>
    <row r="236" spans="1:16" ht="20.25" customHeight="1">
      <c r="A236" s="63">
        <v>232</v>
      </c>
      <c r="B236" s="63">
        <v>2</v>
      </c>
      <c r="C236" s="62" t="s">
        <v>500</v>
      </c>
      <c r="D236" s="131" t="s">
        <v>503</v>
      </c>
      <c r="E236" s="66">
        <v>31973.492196526193</v>
      </c>
      <c r="F236" s="78" t="s">
        <v>91</v>
      </c>
      <c r="G236" s="68">
        <v>22234.16</v>
      </c>
      <c r="H236" s="72" t="s">
        <v>97</v>
      </c>
      <c r="I236" s="88" t="s">
        <v>504</v>
      </c>
      <c r="J236" s="132">
        <v>31973.492196526193</v>
      </c>
      <c r="K236" s="132">
        <v>22234.16</v>
      </c>
      <c r="L236" s="133">
        <v>0.69539354235492812</v>
      </c>
      <c r="M236" s="132">
        <v>21912</v>
      </c>
      <c r="N236" s="134">
        <v>0.68531769583744939</v>
      </c>
      <c r="O236" s="132">
        <v>10061.492196526193</v>
      </c>
      <c r="P236" s="133">
        <v>0.31468230416255055</v>
      </c>
    </row>
    <row r="237" spans="1:16" ht="20.25" customHeight="1">
      <c r="A237" s="63">
        <v>233</v>
      </c>
      <c r="B237" s="63">
        <v>4</v>
      </c>
      <c r="C237" s="62" t="s">
        <v>500</v>
      </c>
      <c r="D237" s="131" t="s">
        <v>505</v>
      </c>
      <c r="E237" s="66">
        <v>11008.169029435829</v>
      </c>
      <c r="F237" s="77" t="s">
        <v>91</v>
      </c>
      <c r="G237" s="68">
        <v>16036.97</v>
      </c>
      <c r="H237" s="72" t="s">
        <v>97</v>
      </c>
      <c r="I237" s="88" t="s">
        <v>506</v>
      </c>
      <c r="J237" s="132">
        <v>11008.169029435829</v>
      </c>
      <c r="K237" s="132">
        <v>16036.97</v>
      </c>
      <c r="L237" s="133">
        <v>1.4568244689118748</v>
      </c>
      <c r="M237" s="132">
        <v>9847</v>
      </c>
      <c r="N237" s="134">
        <v>0.89451751455388595</v>
      </c>
      <c r="O237" s="132">
        <v>1161.1690294358286</v>
      </c>
      <c r="P237" s="133">
        <v>0.10548248544611409</v>
      </c>
    </row>
    <row r="238" spans="1:16" ht="20.25" customHeight="1">
      <c r="A238" s="63">
        <v>234</v>
      </c>
      <c r="B238" s="63">
        <v>5</v>
      </c>
      <c r="C238" s="62" t="s">
        <v>500</v>
      </c>
      <c r="D238" s="131" t="s">
        <v>507</v>
      </c>
      <c r="E238" s="66">
        <v>18294.931443255406</v>
      </c>
      <c r="F238" s="78" t="s">
        <v>91</v>
      </c>
      <c r="G238" s="68">
        <v>18491</v>
      </c>
      <c r="H238" s="72" t="s">
        <v>116</v>
      </c>
      <c r="I238" s="88" t="s">
        <v>508</v>
      </c>
      <c r="J238" s="132">
        <v>18294.931443255406</v>
      </c>
      <c r="K238" s="132">
        <v>18491</v>
      </c>
      <c r="L238" s="133">
        <v>1.0107170971016062</v>
      </c>
      <c r="M238" s="132">
        <v>11914</v>
      </c>
      <c r="N238" s="134">
        <v>0.65121861959161398</v>
      </c>
      <c r="O238" s="132">
        <v>6380.9314432554056</v>
      </c>
      <c r="P238" s="133">
        <v>0.34878138040838597</v>
      </c>
    </row>
    <row r="239" spans="1:16" ht="20.25" customHeight="1">
      <c r="A239" s="63">
        <v>235</v>
      </c>
      <c r="B239" s="63">
        <v>3</v>
      </c>
      <c r="C239" s="62" t="s">
        <v>500</v>
      </c>
      <c r="D239" s="131" t="s">
        <v>509</v>
      </c>
      <c r="E239" s="66">
        <v>51.301788382437621</v>
      </c>
      <c r="F239" s="77" t="s">
        <v>123</v>
      </c>
      <c r="G239" s="68"/>
      <c r="H239" s="72" t="s">
        <v>116</v>
      </c>
      <c r="I239" s="88" t="s">
        <v>243</v>
      </c>
      <c r="J239" s="132">
        <v>51.301788382437621</v>
      </c>
      <c r="K239" s="132"/>
      <c r="L239" s="133">
        <v>0</v>
      </c>
      <c r="M239" s="132"/>
      <c r="N239" s="134">
        <v>0</v>
      </c>
      <c r="O239" s="132">
        <v>51.301788382437621</v>
      </c>
      <c r="P239" s="133">
        <v>1</v>
      </c>
    </row>
    <row r="240" spans="1:16" ht="20.25" customHeight="1">
      <c r="A240" s="63">
        <v>236</v>
      </c>
      <c r="B240" s="63">
        <v>1</v>
      </c>
      <c r="C240" s="62" t="s">
        <v>49</v>
      </c>
      <c r="D240" s="131" t="s">
        <v>510</v>
      </c>
      <c r="E240" s="66">
        <v>35383.552633982079</v>
      </c>
      <c r="F240" s="78" t="s">
        <v>91</v>
      </c>
      <c r="G240" s="68">
        <v>67134.399999999994</v>
      </c>
      <c r="H240" s="72" t="s">
        <v>97</v>
      </c>
      <c r="I240" s="88" t="s">
        <v>511</v>
      </c>
      <c r="J240" s="132">
        <v>35383.552633982079</v>
      </c>
      <c r="K240" s="132">
        <v>67134.399999999994</v>
      </c>
      <c r="L240" s="133">
        <v>1.8973335067413399</v>
      </c>
      <c r="M240" s="132">
        <v>29659</v>
      </c>
      <c r="N240" s="134">
        <v>0.83821430557868104</v>
      </c>
      <c r="O240" s="132">
        <v>5724.552633982079</v>
      </c>
      <c r="P240" s="133">
        <v>0.16178569442131893</v>
      </c>
    </row>
    <row r="241" spans="1:16" ht="20.25" customHeight="1">
      <c r="A241" s="63">
        <v>237</v>
      </c>
      <c r="B241" s="63">
        <v>2</v>
      </c>
      <c r="C241" s="62" t="s">
        <v>49</v>
      </c>
      <c r="D241" s="131" t="s">
        <v>512</v>
      </c>
      <c r="E241" s="66">
        <v>68095.010552074964</v>
      </c>
      <c r="F241" s="77" t="s">
        <v>104</v>
      </c>
      <c r="G241" s="68">
        <v>57830</v>
      </c>
      <c r="H241" s="72" t="s">
        <v>116</v>
      </c>
      <c r="I241" s="88" t="s">
        <v>513</v>
      </c>
      <c r="J241" s="132">
        <v>68095.010552074964</v>
      </c>
      <c r="K241" s="132">
        <v>57830</v>
      </c>
      <c r="L241" s="133">
        <v>0.84925458607242743</v>
      </c>
      <c r="M241" s="132"/>
      <c r="N241" s="134">
        <v>0</v>
      </c>
      <c r="O241" s="132">
        <v>68095.010552074964</v>
      </c>
      <c r="P241" s="133">
        <v>1</v>
      </c>
    </row>
    <row r="242" spans="1:16" ht="20.25" customHeight="1">
      <c r="A242" s="63">
        <v>238</v>
      </c>
      <c r="B242" s="63">
        <v>3</v>
      </c>
      <c r="C242" s="62" t="s">
        <v>49</v>
      </c>
      <c r="D242" s="131" t="s">
        <v>514</v>
      </c>
      <c r="E242" s="66">
        <v>32552.653635475821</v>
      </c>
      <c r="F242" s="78" t="s">
        <v>91</v>
      </c>
      <c r="G242" s="68">
        <v>75654.740000000005</v>
      </c>
      <c r="H242" s="72" t="s">
        <v>97</v>
      </c>
      <c r="I242" s="88" t="s">
        <v>515</v>
      </c>
      <c r="J242" s="132">
        <v>32552.653635475821</v>
      </c>
      <c r="K242" s="132">
        <v>75654.740000000005</v>
      </c>
      <c r="L242" s="133">
        <v>2.3240728957823462</v>
      </c>
      <c r="M242" s="132">
        <v>29172.258456122388</v>
      </c>
      <c r="N242" s="134">
        <v>0.89615607940271003</v>
      </c>
      <c r="O242" s="132">
        <v>3380.3951793534325</v>
      </c>
      <c r="P242" s="133">
        <v>0.10384392059728993</v>
      </c>
    </row>
    <row r="243" spans="1:16" ht="20.25" customHeight="1">
      <c r="A243" s="63">
        <v>239</v>
      </c>
      <c r="B243" s="63">
        <v>4</v>
      </c>
      <c r="C243" s="62" t="s">
        <v>49</v>
      </c>
      <c r="D243" s="131" t="s">
        <v>516</v>
      </c>
      <c r="E243" s="66">
        <v>83197.421457319535</v>
      </c>
      <c r="F243" s="77" t="s">
        <v>91</v>
      </c>
      <c r="G243" s="68">
        <v>43178</v>
      </c>
      <c r="H243" s="72" t="s">
        <v>116</v>
      </c>
      <c r="I243" s="88" t="s">
        <v>304</v>
      </c>
      <c r="J243" s="132">
        <v>83197.421457319535</v>
      </c>
      <c r="K243" s="132">
        <v>43178</v>
      </c>
      <c r="L243" s="133">
        <v>0.51898243050898407</v>
      </c>
      <c r="M243" s="132">
        <v>41250.517203000003</v>
      </c>
      <c r="N243" s="134">
        <v>0.49581485195621849</v>
      </c>
      <c r="O243" s="132">
        <v>41946.904254319532</v>
      </c>
      <c r="P243" s="133">
        <v>0.50418514804378145</v>
      </c>
    </row>
    <row r="244" spans="1:16" ht="20.25" customHeight="1">
      <c r="A244" s="63">
        <v>240</v>
      </c>
      <c r="B244" s="63">
        <v>5</v>
      </c>
      <c r="C244" s="62" t="s">
        <v>49</v>
      </c>
      <c r="D244" s="131" t="s">
        <v>517</v>
      </c>
      <c r="E244" s="66">
        <v>35758.413210953091</v>
      </c>
      <c r="F244" s="78" t="s">
        <v>91</v>
      </c>
      <c r="G244" s="68">
        <v>44631</v>
      </c>
      <c r="H244" s="72" t="s">
        <v>116</v>
      </c>
      <c r="I244" s="88" t="s">
        <v>518</v>
      </c>
      <c r="J244" s="132">
        <v>35758.413210953091</v>
      </c>
      <c r="K244" s="132">
        <v>44631</v>
      </c>
      <c r="L244" s="133">
        <v>1.2481258532559594</v>
      </c>
      <c r="M244" s="132">
        <v>27611.6850764392</v>
      </c>
      <c r="N244" s="134">
        <v>0.77217310828494812</v>
      </c>
      <c r="O244" s="132">
        <v>8146.7281345138908</v>
      </c>
      <c r="P244" s="133">
        <v>0.22782689171505188</v>
      </c>
    </row>
    <row r="245" spans="1:16" ht="20.25" customHeight="1">
      <c r="A245" s="63">
        <v>241</v>
      </c>
      <c r="B245" s="63">
        <v>6</v>
      </c>
      <c r="C245" s="62" t="s">
        <v>49</v>
      </c>
      <c r="D245" s="131" t="s">
        <v>519</v>
      </c>
      <c r="E245" s="66">
        <v>41212.394951748516</v>
      </c>
      <c r="F245" s="77" t="s">
        <v>91</v>
      </c>
      <c r="G245" s="68">
        <v>24716</v>
      </c>
      <c r="H245" s="72" t="s">
        <v>126</v>
      </c>
      <c r="I245" s="88" t="s">
        <v>520</v>
      </c>
      <c r="J245" s="132">
        <v>41212.394951748516</v>
      </c>
      <c r="K245" s="132">
        <v>24716</v>
      </c>
      <c r="L245" s="133">
        <v>0.59972248710460774</v>
      </c>
      <c r="M245" s="132">
        <v>17778</v>
      </c>
      <c r="N245" s="134">
        <v>0.43137507589196133</v>
      </c>
      <c r="O245" s="132">
        <v>23434.394951748516</v>
      </c>
      <c r="P245" s="133">
        <v>0.56862492410803867</v>
      </c>
    </row>
    <row r="246" spans="1:16" ht="20.25" customHeight="1">
      <c r="A246" s="63">
        <v>242</v>
      </c>
      <c r="B246" s="63">
        <v>7</v>
      </c>
      <c r="C246" s="62" t="s">
        <v>49</v>
      </c>
      <c r="D246" s="131" t="s">
        <v>521</v>
      </c>
      <c r="E246" s="66">
        <v>80122.58130171895</v>
      </c>
      <c r="F246" s="78" t="s">
        <v>91</v>
      </c>
      <c r="G246" s="68">
        <v>172717.2</v>
      </c>
      <c r="H246" s="72" t="s">
        <v>97</v>
      </c>
      <c r="I246" s="88" t="s">
        <v>522</v>
      </c>
      <c r="J246" s="132">
        <v>80122.58130171895</v>
      </c>
      <c r="K246" s="132">
        <v>172717.2</v>
      </c>
      <c r="L246" s="133">
        <v>2.1556619518983786</v>
      </c>
      <c r="M246" s="132">
        <v>75424.514041263261</v>
      </c>
      <c r="N246" s="134">
        <v>0.94136400520142882</v>
      </c>
      <c r="O246" s="132">
        <v>4698.0672604556894</v>
      </c>
      <c r="P246" s="133">
        <v>5.8635994798571185E-2</v>
      </c>
    </row>
    <row r="247" spans="1:16" ht="20.25" customHeight="1">
      <c r="A247" s="63">
        <v>243</v>
      </c>
      <c r="B247" s="63">
        <v>8</v>
      </c>
      <c r="C247" s="62" t="s">
        <v>49</v>
      </c>
      <c r="D247" s="131" t="s">
        <v>523</v>
      </c>
      <c r="E247" s="66">
        <v>40668.700628725848</v>
      </c>
      <c r="F247" s="77" t="s">
        <v>91</v>
      </c>
      <c r="G247" s="68">
        <v>38149</v>
      </c>
      <c r="H247" s="72" t="s">
        <v>116</v>
      </c>
      <c r="I247" s="88" t="s">
        <v>470</v>
      </c>
      <c r="J247" s="132">
        <v>40668.700628725848</v>
      </c>
      <c r="K247" s="132">
        <v>38149</v>
      </c>
      <c r="L247" s="133">
        <v>0.93804324726947175</v>
      </c>
      <c r="M247" s="132">
        <v>31371.791795000001</v>
      </c>
      <c r="N247" s="134">
        <v>0.77139892128348242</v>
      </c>
      <c r="O247" s="132">
        <v>9296.9088337258472</v>
      </c>
      <c r="P247" s="133">
        <v>0.22860107871651761</v>
      </c>
    </row>
    <row r="248" spans="1:16" ht="20.25" customHeight="1">
      <c r="A248" s="63">
        <v>244</v>
      </c>
      <c r="B248" s="63">
        <v>9</v>
      </c>
      <c r="C248" s="62" t="s">
        <v>49</v>
      </c>
      <c r="D248" s="131" t="s">
        <v>524</v>
      </c>
      <c r="E248" s="66">
        <v>44331.552932707651</v>
      </c>
      <c r="F248" s="78" t="s">
        <v>91</v>
      </c>
      <c r="G248" s="68">
        <v>44168</v>
      </c>
      <c r="H248" s="72" t="s">
        <v>97</v>
      </c>
      <c r="I248" s="88" t="s">
        <v>525</v>
      </c>
      <c r="J248" s="132">
        <v>44331.552932707651</v>
      </c>
      <c r="K248" s="132">
        <v>44168</v>
      </c>
      <c r="L248" s="133">
        <v>0.99631068794373356</v>
      </c>
      <c r="M248" s="132">
        <v>33268</v>
      </c>
      <c r="N248" s="134">
        <v>0.75043615211266368</v>
      </c>
      <c r="O248" s="132">
        <v>11063.552932707651</v>
      </c>
      <c r="P248" s="133">
        <v>0.24956384788733632</v>
      </c>
    </row>
    <row r="249" spans="1:16" ht="20.25" customHeight="1">
      <c r="A249" s="63">
        <v>245</v>
      </c>
      <c r="B249" s="63">
        <v>10</v>
      </c>
      <c r="C249" s="62" t="s">
        <v>49</v>
      </c>
      <c r="D249" s="131" t="s">
        <v>526</v>
      </c>
      <c r="E249" s="66">
        <v>1613.0549755605523</v>
      </c>
      <c r="F249" s="77" t="s">
        <v>104</v>
      </c>
      <c r="G249" s="68">
        <v>1252</v>
      </c>
      <c r="H249" s="72" t="s">
        <v>126</v>
      </c>
      <c r="I249" s="88" t="s">
        <v>527</v>
      </c>
      <c r="J249" s="132">
        <v>1613.0549755605523</v>
      </c>
      <c r="K249" s="132">
        <v>1252</v>
      </c>
      <c r="L249" s="133">
        <v>0.77616697444854155</v>
      </c>
      <c r="M249" s="132"/>
      <c r="N249" s="134">
        <v>0</v>
      </c>
      <c r="O249" s="132">
        <v>1613.0549755605523</v>
      </c>
      <c r="P249" s="133">
        <v>1</v>
      </c>
    </row>
    <row r="250" spans="1:16" ht="20.25" customHeight="1">
      <c r="A250" s="63">
        <v>246</v>
      </c>
      <c r="B250" s="63">
        <v>11</v>
      </c>
      <c r="C250" s="62" t="s">
        <v>49</v>
      </c>
      <c r="D250" s="131" t="s">
        <v>528</v>
      </c>
      <c r="E250" s="66">
        <v>936.54186489132246</v>
      </c>
      <c r="F250" s="78" t="s">
        <v>104</v>
      </c>
      <c r="G250" s="68">
        <v>677</v>
      </c>
      <c r="H250" s="72" t="s">
        <v>116</v>
      </c>
      <c r="I250" s="88" t="s">
        <v>405</v>
      </c>
      <c r="J250" s="132">
        <v>936.54186489132246</v>
      </c>
      <c r="K250" s="132">
        <v>677</v>
      </c>
      <c r="L250" s="133">
        <v>0.72287211643075877</v>
      </c>
      <c r="M250" s="132"/>
      <c r="N250" s="134">
        <v>0</v>
      </c>
      <c r="O250" s="132">
        <v>936.54186489132246</v>
      </c>
      <c r="P250" s="133">
        <v>1</v>
      </c>
    </row>
    <row r="251" spans="1:16" ht="20.25" customHeight="1">
      <c r="A251" s="63">
        <v>247</v>
      </c>
      <c r="B251" s="63">
        <v>12</v>
      </c>
      <c r="C251" s="62" t="s">
        <v>49</v>
      </c>
      <c r="D251" s="131" t="s">
        <v>529</v>
      </c>
      <c r="E251" s="66">
        <v>1987.8947693763359</v>
      </c>
      <c r="F251" s="77" t="s">
        <v>104</v>
      </c>
      <c r="G251" s="68">
        <v>500</v>
      </c>
      <c r="H251" s="72" t="s">
        <v>116</v>
      </c>
      <c r="I251" s="88" t="s">
        <v>315</v>
      </c>
      <c r="J251" s="132">
        <v>1987.8947693763359</v>
      </c>
      <c r="K251" s="132">
        <v>500</v>
      </c>
      <c r="L251" s="133">
        <v>0.25152236813665213</v>
      </c>
      <c r="M251" s="132"/>
      <c r="N251" s="134">
        <v>0</v>
      </c>
      <c r="O251" s="132">
        <v>1987.8947693763359</v>
      </c>
      <c r="P251" s="133">
        <v>1</v>
      </c>
    </row>
    <row r="252" spans="1:16" ht="20.25" customHeight="1">
      <c r="A252" s="63">
        <v>248</v>
      </c>
      <c r="B252" s="63">
        <v>13</v>
      </c>
      <c r="C252" s="62" t="s">
        <v>49</v>
      </c>
      <c r="D252" s="131" t="s">
        <v>530</v>
      </c>
      <c r="E252" s="66">
        <v>1062.1723245994547</v>
      </c>
      <c r="F252" s="78" t="s">
        <v>104</v>
      </c>
      <c r="G252" s="68">
        <v>479</v>
      </c>
      <c r="H252" s="72" t="s">
        <v>116</v>
      </c>
      <c r="I252" s="88" t="s">
        <v>227</v>
      </c>
      <c r="J252" s="132">
        <v>1062.1723245994547</v>
      </c>
      <c r="K252" s="132">
        <v>479</v>
      </c>
      <c r="L252" s="133">
        <v>0.4509626064495994</v>
      </c>
      <c r="M252" s="132"/>
      <c r="N252" s="134">
        <v>0</v>
      </c>
      <c r="O252" s="132">
        <v>1062.1723245994547</v>
      </c>
      <c r="P252" s="133">
        <v>1</v>
      </c>
    </row>
    <row r="253" spans="1:16" ht="20.25" customHeight="1">
      <c r="A253" s="63">
        <v>249</v>
      </c>
      <c r="B253" s="63">
        <v>14</v>
      </c>
      <c r="C253" s="62" t="s">
        <v>49</v>
      </c>
      <c r="D253" s="131" t="s">
        <v>531</v>
      </c>
      <c r="E253" s="66">
        <v>1215.959613843077</v>
      </c>
      <c r="F253" s="77" t="s">
        <v>104</v>
      </c>
      <c r="G253" s="68">
        <v>18.510000000000002</v>
      </c>
      <c r="H253" s="72" t="s">
        <v>116</v>
      </c>
      <c r="I253" s="88" t="s">
        <v>422</v>
      </c>
      <c r="J253" s="132">
        <v>1215.959613843077</v>
      </c>
      <c r="K253" s="132">
        <v>18.510000000000002</v>
      </c>
      <c r="L253" s="133">
        <v>1.5222545049418695E-2</v>
      </c>
      <c r="M253" s="132"/>
      <c r="N253" s="134">
        <v>0</v>
      </c>
      <c r="O253" s="132">
        <v>1215.959613843077</v>
      </c>
      <c r="P253" s="133">
        <v>1</v>
      </c>
    </row>
    <row r="254" spans="1:16" ht="20.25" customHeight="1">
      <c r="A254" s="63">
        <v>250</v>
      </c>
      <c r="B254" s="63">
        <v>15</v>
      </c>
      <c r="C254" s="62" t="s">
        <v>49</v>
      </c>
      <c r="D254" s="131" t="s">
        <v>532</v>
      </c>
      <c r="E254" s="66">
        <v>439.03397320838656</v>
      </c>
      <c r="F254" s="78" t="s">
        <v>104</v>
      </c>
      <c r="G254" s="68">
        <v>39</v>
      </c>
      <c r="H254" s="72" t="s">
        <v>116</v>
      </c>
      <c r="I254" s="88" t="s">
        <v>267</v>
      </c>
      <c r="J254" s="132">
        <v>439.03397320838656</v>
      </c>
      <c r="K254" s="132">
        <v>39</v>
      </c>
      <c r="L254" s="133">
        <v>8.883139433377911E-2</v>
      </c>
      <c r="M254" s="132"/>
      <c r="N254" s="134">
        <v>0</v>
      </c>
      <c r="O254" s="132">
        <v>439.03397320838656</v>
      </c>
      <c r="P254" s="133">
        <v>1</v>
      </c>
    </row>
    <row r="255" spans="1:16" ht="20.25" customHeight="1">
      <c r="A255" s="63">
        <v>251</v>
      </c>
      <c r="B255" s="63">
        <v>16</v>
      </c>
      <c r="C255" s="62" t="s">
        <v>49</v>
      </c>
      <c r="D255" s="131" t="s">
        <v>533</v>
      </c>
      <c r="E255" s="66">
        <v>888.4012934805487</v>
      </c>
      <c r="F255" s="77" t="s">
        <v>104</v>
      </c>
      <c r="G255" s="68">
        <v>27.52</v>
      </c>
      <c r="H255" s="72" t="s">
        <v>116</v>
      </c>
      <c r="I255" s="88" t="s">
        <v>159</v>
      </c>
      <c r="J255" s="132">
        <v>888.4012934805487</v>
      </c>
      <c r="K255" s="132">
        <v>27.52</v>
      </c>
      <c r="L255" s="133">
        <v>3.0976992269093923E-2</v>
      </c>
      <c r="M255" s="132"/>
      <c r="N255" s="134">
        <v>0</v>
      </c>
      <c r="O255" s="132">
        <v>888.4012934805487</v>
      </c>
      <c r="P255" s="133">
        <v>1</v>
      </c>
    </row>
    <row r="256" spans="1:16" ht="20.25" customHeight="1">
      <c r="A256" s="63">
        <v>252</v>
      </c>
      <c r="B256" s="63">
        <v>17</v>
      </c>
      <c r="C256" s="62" t="s">
        <v>49</v>
      </c>
      <c r="D256" s="131" t="s">
        <v>534</v>
      </c>
      <c r="E256" s="66">
        <v>2231.6048976267548</v>
      </c>
      <c r="F256" s="78" t="s">
        <v>91</v>
      </c>
      <c r="G256" s="68">
        <v>1099</v>
      </c>
      <c r="H256" s="72" t="s">
        <v>116</v>
      </c>
      <c r="I256" s="88" t="s">
        <v>262</v>
      </c>
      <c r="J256" s="132">
        <v>2231.6048976267548</v>
      </c>
      <c r="K256" s="132">
        <v>1099</v>
      </c>
      <c r="L256" s="133">
        <v>0.49247068832334689</v>
      </c>
      <c r="M256" s="132">
        <v>1058</v>
      </c>
      <c r="N256" s="134">
        <v>0.47409826046051046</v>
      </c>
      <c r="O256" s="132">
        <v>1173.6048976267548</v>
      </c>
      <c r="P256" s="133">
        <v>0.52590173953948949</v>
      </c>
    </row>
    <row r="257" spans="1:16" ht="20.25" customHeight="1">
      <c r="A257" s="63">
        <v>253</v>
      </c>
      <c r="B257" s="63">
        <v>18</v>
      </c>
      <c r="C257" s="62" t="s">
        <v>49</v>
      </c>
      <c r="D257" s="131" t="s">
        <v>535</v>
      </c>
      <c r="E257" s="66">
        <v>2226.0435262682659</v>
      </c>
      <c r="F257" s="77" t="s">
        <v>123</v>
      </c>
      <c r="G257" s="68"/>
      <c r="H257" s="72" t="s">
        <v>116</v>
      </c>
      <c r="I257" s="88" t="s">
        <v>536</v>
      </c>
      <c r="J257" s="132">
        <v>2226.0435262682659</v>
      </c>
      <c r="K257" s="132"/>
      <c r="L257" s="133">
        <v>0</v>
      </c>
      <c r="M257" s="132"/>
      <c r="N257" s="134">
        <v>0</v>
      </c>
      <c r="O257" s="132">
        <v>2226.0435262682659</v>
      </c>
      <c r="P257" s="133">
        <v>1</v>
      </c>
    </row>
    <row r="258" spans="1:16" ht="20.25" customHeight="1">
      <c r="A258" s="63">
        <v>254</v>
      </c>
      <c r="B258" s="63">
        <v>19</v>
      </c>
      <c r="C258" s="62" t="s">
        <v>49</v>
      </c>
      <c r="D258" s="131" t="s">
        <v>537</v>
      </c>
      <c r="E258" s="66">
        <v>99386.965617747657</v>
      </c>
      <c r="F258" s="78" t="s">
        <v>91</v>
      </c>
      <c r="G258" s="68">
        <v>53384</v>
      </c>
      <c r="H258" s="72" t="s">
        <v>116</v>
      </c>
      <c r="I258" s="88" t="s">
        <v>265</v>
      </c>
      <c r="J258" s="132">
        <v>99386.965617747657</v>
      </c>
      <c r="K258" s="132">
        <v>53384</v>
      </c>
      <c r="L258" s="133">
        <v>0.53713280879627889</v>
      </c>
      <c r="M258" s="132">
        <v>49248.210590000002</v>
      </c>
      <c r="N258" s="134">
        <v>0.49551981272286361</v>
      </c>
      <c r="O258" s="132">
        <v>50138.755027747655</v>
      </c>
      <c r="P258" s="133">
        <v>0.50448018727713639</v>
      </c>
    </row>
    <row r="259" spans="1:16" ht="20.25" customHeight="1">
      <c r="A259" s="63">
        <v>255</v>
      </c>
      <c r="B259" s="63">
        <v>20</v>
      </c>
      <c r="C259" s="62" t="s">
        <v>49</v>
      </c>
      <c r="D259" s="131" t="s">
        <v>538</v>
      </c>
      <c r="E259" s="66">
        <v>34597.324484821533</v>
      </c>
      <c r="F259" s="77" t="s">
        <v>91</v>
      </c>
      <c r="G259" s="68">
        <v>32331.83</v>
      </c>
      <c r="H259" s="72" t="s">
        <v>126</v>
      </c>
      <c r="I259" s="88" t="s">
        <v>412</v>
      </c>
      <c r="J259" s="132">
        <v>34597.324484821533</v>
      </c>
      <c r="K259" s="132">
        <v>32331.83</v>
      </c>
      <c r="L259" s="133">
        <v>0.93451821727384021</v>
      </c>
      <c r="M259" s="132">
        <v>18448</v>
      </c>
      <c r="N259" s="134">
        <v>0.53322042310218143</v>
      </c>
      <c r="O259" s="132">
        <v>16149.324484821533</v>
      </c>
      <c r="P259" s="133">
        <v>0.46677957689781852</v>
      </c>
    </row>
    <row r="260" spans="1:16" ht="20.25" customHeight="1">
      <c r="A260" s="63">
        <v>256</v>
      </c>
      <c r="B260" s="63">
        <v>21</v>
      </c>
      <c r="C260" s="62" t="s">
        <v>49</v>
      </c>
      <c r="D260" s="131" t="s">
        <v>539</v>
      </c>
      <c r="E260" s="66">
        <v>31542.070511842423</v>
      </c>
      <c r="F260" s="78" t="s">
        <v>91</v>
      </c>
      <c r="G260" s="68">
        <v>23089.659300995449</v>
      </c>
      <c r="H260" s="72" t="s">
        <v>92</v>
      </c>
      <c r="I260" s="88" t="s">
        <v>540</v>
      </c>
      <c r="J260" s="132">
        <v>31542.070511842423</v>
      </c>
      <c r="K260" s="132">
        <v>23089.659300995449</v>
      </c>
      <c r="L260" s="133">
        <v>0.73202738204286466</v>
      </c>
      <c r="M260" s="132">
        <v>20121</v>
      </c>
      <c r="N260" s="134">
        <v>0.637909930245245</v>
      </c>
      <c r="O260" s="132">
        <v>11421.070511842423</v>
      </c>
      <c r="P260" s="133">
        <v>0.362090069754755</v>
      </c>
    </row>
    <row r="261" spans="1:16" ht="20.25" customHeight="1">
      <c r="A261" s="63">
        <v>257</v>
      </c>
      <c r="B261" s="63">
        <v>22</v>
      </c>
      <c r="C261" s="62" t="s">
        <v>49</v>
      </c>
      <c r="D261" s="131" t="s">
        <v>541</v>
      </c>
      <c r="E261" s="66">
        <v>24742.728315061559</v>
      </c>
      <c r="F261" s="77" t="s">
        <v>104</v>
      </c>
      <c r="G261" s="68">
        <v>19084</v>
      </c>
      <c r="H261" s="72" t="s">
        <v>126</v>
      </c>
      <c r="I261" s="88" t="s">
        <v>542</v>
      </c>
      <c r="J261" s="132">
        <v>24742.728315061559</v>
      </c>
      <c r="K261" s="132">
        <v>19084</v>
      </c>
      <c r="L261" s="133">
        <v>0.77129731842801907</v>
      </c>
      <c r="M261" s="132"/>
      <c r="N261" s="134">
        <v>0</v>
      </c>
      <c r="O261" s="132">
        <v>24742.728315061559</v>
      </c>
      <c r="P261" s="133">
        <v>1</v>
      </c>
    </row>
    <row r="262" spans="1:16" ht="20.25" customHeight="1">
      <c r="A262" s="63">
        <v>258</v>
      </c>
      <c r="B262" s="63">
        <v>23</v>
      </c>
      <c r="C262" s="62" t="s">
        <v>49</v>
      </c>
      <c r="D262" s="131" t="s">
        <v>543</v>
      </c>
      <c r="E262" s="66">
        <v>44374.849990227092</v>
      </c>
      <c r="F262" s="74" t="s">
        <v>104</v>
      </c>
      <c r="G262" s="68">
        <v>45888</v>
      </c>
      <c r="H262" s="72" t="s">
        <v>116</v>
      </c>
      <c r="I262" s="88" t="s">
        <v>544</v>
      </c>
      <c r="J262" s="132">
        <v>44374.849990227092</v>
      </c>
      <c r="K262" s="132">
        <v>45888</v>
      </c>
      <c r="L262" s="133">
        <v>1.0340992704224612</v>
      </c>
      <c r="M262" s="132"/>
      <c r="N262" s="134">
        <v>0</v>
      </c>
      <c r="O262" s="132">
        <v>44374.849990227092</v>
      </c>
      <c r="P262" s="133">
        <v>1</v>
      </c>
    </row>
    <row r="263" spans="1:16" ht="20.25" customHeight="1">
      <c r="A263" s="63">
        <v>259</v>
      </c>
      <c r="B263" s="63">
        <v>24</v>
      </c>
      <c r="C263" s="62" t="s">
        <v>49</v>
      </c>
      <c r="D263" s="131" t="s">
        <v>545</v>
      </c>
      <c r="E263" s="66">
        <v>37246.608948481429</v>
      </c>
      <c r="F263" s="67" t="s">
        <v>91</v>
      </c>
      <c r="G263" s="68">
        <v>27535</v>
      </c>
      <c r="H263" s="72" t="s">
        <v>116</v>
      </c>
      <c r="I263" s="88" t="s">
        <v>546</v>
      </c>
      <c r="J263" s="132">
        <v>37246.608948481429</v>
      </c>
      <c r="K263" s="132">
        <v>27535</v>
      </c>
      <c r="L263" s="133">
        <v>0.73926192953795389</v>
      </c>
      <c r="M263" s="132">
        <v>14771.711520000001</v>
      </c>
      <c r="N263" s="134">
        <v>0.39659211769940883</v>
      </c>
      <c r="O263" s="132">
        <v>22475.901860000002</v>
      </c>
      <c r="P263" s="133">
        <v>0.60343484936006131</v>
      </c>
    </row>
    <row r="264" spans="1:16" ht="20.25" customHeight="1">
      <c r="A264" s="63">
        <v>260</v>
      </c>
      <c r="B264" s="63">
        <v>25</v>
      </c>
      <c r="C264" s="62" t="s">
        <v>49</v>
      </c>
      <c r="D264" s="131" t="s">
        <v>547</v>
      </c>
      <c r="E264" s="66">
        <v>46173.978253620262</v>
      </c>
      <c r="F264" s="74" t="s">
        <v>91</v>
      </c>
      <c r="G264" s="68">
        <v>27542</v>
      </c>
      <c r="H264" s="72" t="s">
        <v>116</v>
      </c>
      <c r="I264" s="88" t="s">
        <v>243</v>
      </c>
      <c r="J264" s="132">
        <v>46173.978253620262</v>
      </c>
      <c r="K264" s="132">
        <v>27542</v>
      </c>
      <c r="L264" s="133">
        <v>0.59648315007036623</v>
      </c>
      <c r="M264" s="132">
        <v>27536</v>
      </c>
      <c r="N264" s="134">
        <v>0.59635320675105674</v>
      </c>
      <c r="O264" s="132">
        <v>18637.978253620262</v>
      </c>
      <c r="P264" s="133">
        <v>0.40364679324894331</v>
      </c>
    </row>
    <row r="265" spans="1:16" ht="20.25" customHeight="1">
      <c r="A265" s="63">
        <v>261</v>
      </c>
      <c r="B265" s="63">
        <v>26</v>
      </c>
      <c r="C265" s="62" t="s">
        <v>49</v>
      </c>
      <c r="D265" s="131" t="s">
        <v>548</v>
      </c>
      <c r="E265" s="66">
        <v>50104.534118295516</v>
      </c>
      <c r="F265" s="67" t="s">
        <v>104</v>
      </c>
      <c r="G265" s="68">
        <v>41523</v>
      </c>
      <c r="H265" s="72" t="s">
        <v>126</v>
      </c>
      <c r="I265" s="88" t="s">
        <v>323</v>
      </c>
      <c r="J265" s="132">
        <v>50104.534118295516</v>
      </c>
      <c r="K265" s="132">
        <v>41523</v>
      </c>
      <c r="L265" s="133">
        <v>0.82872739425069331</v>
      </c>
      <c r="M265" s="132"/>
      <c r="N265" s="134">
        <v>0</v>
      </c>
      <c r="O265" s="132">
        <v>50104.534118295516</v>
      </c>
      <c r="P265" s="133">
        <v>1</v>
      </c>
    </row>
    <row r="266" spans="1:16" ht="20.25" customHeight="1">
      <c r="A266" s="63">
        <v>262</v>
      </c>
      <c r="B266" s="63">
        <v>27</v>
      </c>
      <c r="C266" s="62" t="s">
        <v>49</v>
      </c>
      <c r="D266" s="131" t="s">
        <v>549</v>
      </c>
      <c r="E266" s="66">
        <v>11798.427477664341</v>
      </c>
      <c r="F266" s="74" t="s">
        <v>91</v>
      </c>
      <c r="G266" s="68">
        <v>11015.48</v>
      </c>
      <c r="H266" s="72" t="s">
        <v>97</v>
      </c>
      <c r="I266" s="88" t="s">
        <v>550</v>
      </c>
      <c r="J266" s="132">
        <v>11798.427477664341</v>
      </c>
      <c r="K266" s="132">
        <v>11015.48</v>
      </c>
      <c r="L266" s="133">
        <v>0.93363967535957282</v>
      </c>
      <c r="M266" s="132">
        <v>8773</v>
      </c>
      <c r="N266" s="134">
        <v>0.7435736683221732</v>
      </c>
      <c r="O266" s="132">
        <v>3025.4274776643415</v>
      </c>
      <c r="P266" s="133">
        <v>0.25642633167782675</v>
      </c>
    </row>
    <row r="267" spans="1:16" ht="20.25" customHeight="1">
      <c r="A267" s="63">
        <v>263</v>
      </c>
      <c r="B267" s="63">
        <v>28</v>
      </c>
      <c r="C267" s="62" t="s">
        <v>49</v>
      </c>
      <c r="D267" s="131" t="s">
        <v>551</v>
      </c>
      <c r="E267" s="66">
        <v>24473.447935954417</v>
      </c>
      <c r="F267" s="67" t="s">
        <v>104</v>
      </c>
      <c r="G267" s="68">
        <v>24046</v>
      </c>
      <c r="H267" s="72" t="s">
        <v>116</v>
      </c>
      <c r="I267" s="88" t="s">
        <v>552</v>
      </c>
      <c r="J267" s="132">
        <v>24473.447935954417</v>
      </c>
      <c r="K267" s="132">
        <v>24046</v>
      </c>
      <c r="L267" s="133">
        <v>0.98253421679393016</v>
      </c>
      <c r="M267" s="132"/>
      <c r="N267" s="134">
        <v>0</v>
      </c>
      <c r="O267" s="132">
        <v>24473.447935954417</v>
      </c>
      <c r="P267" s="133">
        <v>1</v>
      </c>
    </row>
    <row r="268" spans="1:16" ht="20.25" customHeight="1">
      <c r="A268" s="63">
        <v>264</v>
      </c>
      <c r="B268" s="63">
        <v>29</v>
      </c>
      <c r="C268" s="62" t="s">
        <v>49</v>
      </c>
      <c r="D268" s="131" t="s">
        <v>553</v>
      </c>
      <c r="E268" s="66">
        <v>35539.374430647753</v>
      </c>
      <c r="F268" s="74" t="s">
        <v>91</v>
      </c>
      <c r="G268" s="68">
        <v>34117.71</v>
      </c>
      <c r="H268" s="72" t="s">
        <v>97</v>
      </c>
      <c r="I268" s="88" t="s">
        <v>554</v>
      </c>
      <c r="J268" s="132">
        <v>35539.374430647753</v>
      </c>
      <c r="K268" s="132">
        <v>34117.71</v>
      </c>
      <c r="L268" s="133">
        <v>0.95999748297702825</v>
      </c>
      <c r="M268" s="132">
        <v>25120.926008199465</v>
      </c>
      <c r="N268" s="134">
        <v>0.70684772623730174</v>
      </c>
      <c r="O268" s="132">
        <v>10418.448422448288</v>
      </c>
      <c r="P268" s="133">
        <v>0.29315227376269826</v>
      </c>
    </row>
    <row r="269" spans="1:16" ht="20.25" customHeight="1">
      <c r="A269" s="63">
        <v>265</v>
      </c>
      <c r="B269" s="63">
        <v>30</v>
      </c>
      <c r="C269" s="62" t="s">
        <v>49</v>
      </c>
      <c r="D269" s="131" t="s">
        <v>555</v>
      </c>
      <c r="E269" s="66">
        <v>34937.764874785207</v>
      </c>
      <c r="F269" s="67" t="s">
        <v>104</v>
      </c>
      <c r="G269" s="68">
        <v>32947</v>
      </c>
      <c r="H269" s="72" t="s">
        <v>116</v>
      </c>
      <c r="I269" s="88" t="s">
        <v>544</v>
      </c>
      <c r="J269" s="132">
        <v>34937.764874785207</v>
      </c>
      <c r="K269" s="132">
        <v>32947</v>
      </c>
      <c r="L269" s="133">
        <v>0.94301968423223448</v>
      </c>
      <c r="M269" s="132"/>
      <c r="N269" s="134">
        <v>0</v>
      </c>
      <c r="O269" s="132">
        <v>34937.764874785207</v>
      </c>
      <c r="P269" s="133">
        <v>1</v>
      </c>
    </row>
    <row r="270" spans="1:16" ht="20.25" customHeight="1">
      <c r="A270" s="63">
        <v>266</v>
      </c>
      <c r="B270" s="63">
        <v>31</v>
      </c>
      <c r="C270" s="62" t="s">
        <v>49</v>
      </c>
      <c r="D270" s="131" t="s">
        <v>556</v>
      </c>
      <c r="E270" s="66">
        <v>39771.257796014928</v>
      </c>
      <c r="F270" s="74" t="s">
        <v>91</v>
      </c>
      <c r="G270" s="68">
        <v>77384</v>
      </c>
      <c r="H270" s="72" t="s">
        <v>97</v>
      </c>
      <c r="I270" s="88" t="s">
        <v>557</v>
      </c>
      <c r="J270" s="132">
        <v>39771.257796014928</v>
      </c>
      <c r="K270" s="132">
        <v>77384</v>
      </c>
      <c r="L270" s="133">
        <v>1.9457267456035514</v>
      </c>
      <c r="M270" s="132">
        <v>23975</v>
      </c>
      <c r="N270" s="134">
        <v>0.60282227237988661</v>
      </c>
      <c r="O270" s="132">
        <v>15796.257796014928</v>
      </c>
      <c r="P270" s="133">
        <v>0.39717772762011339</v>
      </c>
    </row>
    <row r="271" spans="1:16" ht="20.25" customHeight="1">
      <c r="A271" s="63">
        <v>267</v>
      </c>
      <c r="B271" s="63">
        <v>32</v>
      </c>
      <c r="C271" s="62" t="s">
        <v>49</v>
      </c>
      <c r="D271" s="131" t="s">
        <v>558</v>
      </c>
      <c r="E271" s="66">
        <v>30847.964790125472</v>
      </c>
      <c r="F271" s="67" t="s">
        <v>91</v>
      </c>
      <c r="G271" s="68">
        <v>63680.08</v>
      </c>
      <c r="H271" s="72" t="s">
        <v>97</v>
      </c>
      <c r="I271" s="88" t="s">
        <v>559</v>
      </c>
      <c r="J271" s="132">
        <v>30847.964790125472</v>
      </c>
      <c r="K271" s="132">
        <v>63680.08</v>
      </c>
      <c r="L271" s="133">
        <v>2.0643203022710979</v>
      </c>
      <c r="M271" s="132">
        <v>25243.680618838003</v>
      </c>
      <c r="N271" s="134">
        <v>0.81832564289358178</v>
      </c>
      <c r="O271" s="132">
        <v>5604.2841712874688</v>
      </c>
      <c r="P271" s="133">
        <v>0.18167435710641816</v>
      </c>
    </row>
    <row r="272" spans="1:16" ht="20.25" customHeight="1">
      <c r="A272" s="63">
        <v>268</v>
      </c>
      <c r="B272" s="63">
        <v>33</v>
      </c>
      <c r="C272" s="62" t="s">
        <v>49</v>
      </c>
      <c r="D272" s="131" t="s">
        <v>560</v>
      </c>
      <c r="E272" s="66">
        <v>23093.014263077734</v>
      </c>
      <c r="F272" s="74" t="s">
        <v>104</v>
      </c>
      <c r="G272" s="68">
        <v>6750</v>
      </c>
      <c r="H272" s="72" t="s">
        <v>116</v>
      </c>
      <c r="I272" s="88" t="s">
        <v>420</v>
      </c>
      <c r="J272" s="132">
        <v>23093.014263077734</v>
      </c>
      <c r="K272" s="132">
        <v>6750</v>
      </c>
      <c r="L272" s="133">
        <v>0.29229618633164911</v>
      </c>
      <c r="M272" s="132"/>
      <c r="N272" s="134">
        <v>0</v>
      </c>
      <c r="O272" s="132">
        <v>23093.014263077734</v>
      </c>
      <c r="P272" s="133">
        <v>1</v>
      </c>
    </row>
    <row r="273" spans="1:16" ht="20.25" customHeight="1">
      <c r="A273" s="63">
        <v>269</v>
      </c>
      <c r="B273" s="63">
        <v>34</v>
      </c>
      <c r="C273" s="62" t="s">
        <v>49</v>
      </c>
      <c r="D273" s="131" t="s">
        <v>561</v>
      </c>
      <c r="E273" s="66">
        <v>32815.397656606321</v>
      </c>
      <c r="F273" s="67" t="s">
        <v>91</v>
      </c>
      <c r="G273" s="68">
        <v>33880.639999999999</v>
      </c>
      <c r="H273" s="72" t="s">
        <v>97</v>
      </c>
      <c r="I273" s="88" t="s">
        <v>562</v>
      </c>
      <c r="J273" s="132">
        <v>32815.397656606321</v>
      </c>
      <c r="K273" s="132">
        <v>33880.639999999999</v>
      </c>
      <c r="L273" s="133">
        <v>1.0324616618863134</v>
      </c>
      <c r="M273" s="132">
        <v>29568.20032674391</v>
      </c>
      <c r="N273" s="134">
        <v>0.90104653419585512</v>
      </c>
      <c r="O273" s="132">
        <v>3247.1973298624107</v>
      </c>
      <c r="P273" s="133">
        <v>9.8953465804144908E-2</v>
      </c>
    </row>
    <row r="274" spans="1:16" ht="20.25" customHeight="1">
      <c r="A274" s="63">
        <v>270</v>
      </c>
      <c r="B274" s="63">
        <v>35</v>
      </c>
      <c r="C274" s="62" t="s">
        <v>49</v>
      </c>
      <c r="D274" s="131" t="s">
        <v>563</v>
      </c>
      <c r="E274" s="66">
        <v>35543.437153677616</v>
      </c>
      <c r="F274" s="74" t="s">
        <v>91</v>
      </c>
      <c r="G274" s="68">
        <v>62141.48</v>
      </c>
      <c r="H274" s="72" t="s">
        <v>97</v>
      </c>
      <c r="I274" s="88" t="s">
        <v>564</v>
      </c>
      <c r="J274" s="132">
        <v>35543.437153677616</v>
      </c>
      <c r="K274" s="132">
        <v>62141.48</v>
      </c>
      <c r="L274" s="133">
        <v>1.7483250067043765</v>
      </c>
      <c r="M274" s="132">
        <v>26811</v>
      </c>
      <c r="N274" s="134">
        <v>0.7543164687218753</v>
      </c>
      <c r="O274" s="132">
        <v>8732.4371536776162</v>
      </c>
      <c r="P274" s="133">
        <v>0.24568353127812476</v>
      </c>
    </row>
    <row r="275" spans="1:16" ht="20.25" customHeight="1">
      <c r="A275" s="63">
        <v>271</v>
      </c>
      <c r="B275" s="63">
        <v>36</v>
      </c>
      <c r="C275" s="62" t="s">
        <v>49</v>
      </c>
      <c r="D275" s="131" t="s">
        <v>565</v>
      </c>
      <c r="E275" s="66">
        <v>12048.140924986597</v>
      </c>
      <c r="F275" s="67" t="s">
        <v>91</v>
      </c>
      <c r="G275" s="68">
        <v>12785</v>
      </c>
      <c r="H275" s="72" t="s">
        <v>92</v>
      </c>
      <c r="I275" s="88" t="s">
        <v>566</v>
      </c>
      <c r="J275" s="132">
        <v>12048.140924986597</v>
      </c>
      <c r="K275" s="132">
        <v>12785</v>
      </c>
      <c r="L275" s="133">
        <v>1.0611595664095557</v>
      </c>
      <c r="M275" s="132">
        <v>7352</v>
      </c>
      <c r="N275" s="134">
        <v>0.61021862590872533</v>
      </c>
      <c r="O275" s="132">
        <v>4696.1409249865974</v>
      </c>
      <c r="P275" s="133">
        <v>0.38978137409127472</v>
      </c>
    </row>
    <row r="276" spans="1:16" ht="20.25" customHeight="1">
      <c r="A276" s="63">
        <v>272</v>
      </c>
      <c r="B276" s="63">
        <v>37</v>
      </c>
      <c r="C276" s="62" t="s">
        <v>49</v>
      </c>
      <c r="D276" s="131" t="s">
        <v>567</v>
      </c>
      <c r="E276" s="66">
        <v>66534.047483618036</v>
      </c>
      <c r="F276" s="74" t="s">
        <v>91</v>
      </c>
      <c r="G276" s="68">
        <v>75610</v>
      </c>
      <c r="H276" s="72" t="s">
        <v>116</v>
      </c>
      <c r="I276" s="88" t="s">
        <v>568</v>
      </c>
      <c r="J276" s="132">
        <v>66534.047483618036</v>
      </c>
      <c r="K276" s="132">
        <v>75610</v>
      </c>
      <c r="L276" s="133">
        <v>1.1364106477757367</v>
      </c>
      <c r="M276" s="132">
        <v>53969</v>
      </c>
      <c r="N276" s="134">
        <v>0.81114860798583177</v>
      </c>
      <c r="O276" s="132">
        <v>12565.047483618036</v>
      </c>
      <c r="P276" s="133">
        <v>0.18885139201416828</v>
      </c>
    </row>
    <row r="277" spans="1:16" ht="20.25" customHeight="1">
      <c r="A277" s="63">
        <v>273</v>
      </c>
      <c r="B277" s="63">
        <v>38</v>
      </c>
      <c r="C277" s="62" t="s">
        <v>49</v>
      </c>
      <c r="D277" s="131" t="s">
        <v>569</v>
      </c>
      <c r="E277" s="66">
        <v>25414.793583192779</v>
      </c>
      <c r="F277" s="67" t="s">
        <v>91</v>
      </c>
      <c r="G277" s="68">
        <v>33223.82</v>
      </c>
      <c r="H277" s="72" t="s">
        <v>97</v>
      </c>
      <c r="I277" s="88" t="s">
        <v>570</v>
      </c>
      <c r="J277" s="132">
        <v>25414.793583192779</v>
      </c>
      <c r="K277" s="132">
        <v>33223.82</v>
      </c>
      <c r="L277" s="133">
        <v>1.3072630273877754</v>
      </c>
      <c r="M277" s="132">
        <v>16936</v>
      </c>
      <c r="N277" s="134">
        <v>0.66638353542245787</v>
      </c>
      <c r="O277" s="132">
        <v>8478.7935831927789</v>
      </c>
      <c r="P277" s="133">
        <v>0.33361646457754213</v>
      </c>
    </row>
    <row r="278" spans="1:16" ht="20.25" customHeight="1">
      <c r="A278" s="63">
        <v>274</v>
      </c>
      <c r="B278" s="92">
        <v>1</v>
      </c>
      <c r="C278" s="62" t="s">
        <v>50</v>
      </c>
      <c r="D278" s="131" t="s">
        <v>571</v>
      </c>
      <c r="E278" s="66">
        <v>9072.4752857066742</v>
      </c>
      <c r="F278" s="74" t="s">
        <v>91</v>
      </c>
      <c r="G278" s="68">
        <v>13312.64</v>
      </c>
      <c r="H278" s="72" t="s">
        <v>97</v>
      </c>
      <c r="I278" s="88" t="s">
        <v>972</v>
      </c>
      <c r="J278" s="132">
        <v>9072.4752857066742</v>
      </c>
      <c r="K278" s="132">
        <v>13312.64</v>
      </c>
      <c r="L278" s="133">
        <v>1.4673658048948932</v>
      </c>
      <c r="M278" s="132">
        <v>6632.783150440926</v>
      </c>
      <c r="N278" s="134">
        <v>0.7310885884572883</v>
      </c>
      <c r="O278" s="132">
        <v>2439.6921352657482</v>
      </c>
      <c r="P278" s="133">
        <v>0.2689114115427117</v>
      </c>
    </row>
    <row r="279" spans="1:16" ht="20.25" customHeight="1">
      <c r="A279" s="63">
        <v>275</v>
      </c>
      <c r="B279" s="92">
        <v>2</v>
      </c>
      <c r="C279" s="62" t="s">
        <v>50</v>
      </c>
      <c r="D279" s="131" t="s">
        <v>573</v>
      </c>
      <c r="E279" s="66">
        <v>2210.4473394580027</v>
      </c>
      <c r="F279" s="67" t="s">
        <v>104</v>
      </c>
      <c r="G279" s="68">
        <v>1732</v>
      </c>
      <c r="H279" s="72" t="s">
        <v>116</v>
      </c>
      <c r="I279" s="88" t="s">
        <v>183</v>
      </c>
      <c r="J279" s="132">
        <v>2210.4473394580027</v>
      </c>
      <c r="K279" s="132">
        <v>1732</v>
      </c>
      <c r="L279" s="133">
        <v>0.7835518037831577</v>
      </c>
      <c r="M279" s="132"/>
      <c r="N279" s="134">
        <v>0</v>
      </c>
      <c r="O279" s="132">
        <v>2210.4473394580027</v>
      </c>
      <c r="P279" s="133">
        <v>1</v>
      </c>
    </row>
    <row r="280" spans="1:16" ht="20.25" customHeight="1">
      <c r="A280" s="63">
        <v>276</v>
      </c>
      <c r="B280" s="92">
        <v>3</v>
      </c>
      <c r="C280" s="62" t="s">
        <v>50</v>
      </c>
      <c r="D280" s="131" t="s">
        <v>574</v>
      </c>
      <c r="E280" s="66">
        <v>8860.6571979158343</v>
      </c>
      <c r="F280" s="74" t="s">
        <v>91</v>
      </c>
      <c r="G280" s="68">
        <v>6462.49</v>
      </c>
      <c r="H280" s="72" t="s">
        <v>97</v>
      </c>
      <c r="I280" s="88" t="s">
        <v>575</v>
      </c>
      <c r="J280" s="132">
        <v>8860.6571979158343</v>
      </c>
      <c r="K280" s="132">
        <v>6462.49</v>
      </c>
      <c r="L280" s="133">
        <v>0.72934657730806685</v>
      </c>
      <c r="M280" s="132">
        <v>6452</v>
      </c>
      <c r="N280" s="134">
        <v>0.72816269221177088</v>
      </c>
      <c r="O280" s="132">
        <v>2408.6571979158343</v>
      </c>
      <c r="P280" s="133">
        <v>0.27183730778822912</v>
      </c>
    </row>
    <row r="281" spans="1:16" ht="20.25" customHeight="1">
      <c r="A281" s="63">
        <v>277</v>
      </c>
      <c r="B281" s="92">
        <v>4</v>
      </c>
      <c r="C281" s="62" t="s">
        <v>50</v>
      </c>
      <c r="D281" s="131" t="s">
        <v>576</v>
      </c>
      <c r="E281" s="66">
        <v>11780.804680852652</v>
      </c>
      <c r="F281" s="67" t="s">
        <v>91</v>
      </c>
      <c r="G281" s="68">
        <v>7135.27</v>
      </c>
      <c r="H281" s="72" t="s">
        <v>97</v>
      </c>
      <c r="I281" s="88" t="s">
        <v>577</v>
      </c>
      <c r="J281" s="132">
        <v>11780.804680852652</v>
      </c>
      <c r="K281" s="132">
        <v>7135.27</v>
      </c>
      <c r="L281" s="133">
        <v>0.60566915361876417</v>
      </c>
      <c r="M281" s="132">
        <v>7114.9206762179856</v>
      </c>
      <c r="N281" s="134">
        <v>0.60394182477041403</v>
      </c>
      <c r="O281" s="132">
        <v>4665.8840046346668</v>
      </c>
      <c r="P281" s="133">
        <v>0.39605817522958597</v>
      </c>
    </row>
    <row r="282" spans="1:16" ht="20.25" customHeight="1">
      <c r="A282" s="63">
        <v>278</v>
      </c>
      <c r="B282" s="92">
        <v>5</v>
      </c>
      <c r="C282" s="62" t="s">
        <v>50</v>
      </c>
      <c r="D282" s="131" t="s">
        <v>578</v>
      </c>
      <c r="E282" s="66">
        <v>7139.6798480712105</v>
      </c>
      <c r="F282" s="74" t="s">
        <v>104</v>
      </c>
      <c r="G282" s="68">
        <v>5968</v>
      </c>
      <c r="H282" s="72" t="s">
        <v>116</v>
      </c>
      <c r="I282" s="88" t="s">
        <v>183</v>
      </c>
      <c r="J282" s="132">
        <v>7139.6798480712105</v>
      </c>
      <c r="K282" s="132">
        <v>5968</v>
      </c>
      <c r="L282" s="133">
        <v>0.83589182246207572</v>
      </c>
      <c r="M282" s="132"/>
      <c r="N282" s="134">
        <v>0</v>
      </c>
      <c r="O282" s="132">
        <v>7139.6798480712105</v>
      </c>
      <c r="P282" s="133">
        <v>1</v>
      </c>
    </row>
    <row r="283" spans="1:16" ht="20.25" customHeight="1">
      <c r="A283" s="63">
        <v>279</v>
      </c>
      <c r="B283" s="92">
        <v>6</v>
      </c>
      <c r="C283" s="62" t="s">
        <v>50</v>
      </c>
      <c r="D283" s="131" t="s">
        <v>579</v>
      </c>
      <c r="E283" s="66">
        <v>6584.1438484407881</v>
      </c>
      <c r="F283" s="67" t="s">
        <v>91</v>
      </c>
      <c r="G283" s="68">
        <v>6116</v>
      </c>
      <c r="H283" s="72" t="s">
        <v>116</v>
      </c>
      <c r="I283" s="88" t="s">
        <v>568</v>
      </c>
      <c r="J283" s="132">
        <v>6584.1438484407881</v>
      </c>
      <c r="K283" s="132">
        <v>6116</v>
      </c>
      <c r="L283" s="133">
        <v>0.92889829578197158</v>
      </c>
      <c r="M283" s="132">
        <v>5441</v>
      </c>
      <c r="N283" s="134">
        <v>0.82637927196692407</v>
      </c>
      <c r="O283" s="132">
        <v>1143.1438484407881</v>
      </c>
      <c r="P283" s="133">
        <v>0.17362072803307596</v>
      </c>
    </row>
    <row r="284" spans="1:16" ht="20.25" customHeight="1">
      <c r="A284" s="63">
        <v>280</v>
      </c>
      <c r="B284" s="92">
        <v>7</v>
      </c>
      <c r="C284" s="62" t="s">
        <v>50</v>
      </c>
      <c r="D284" s="131" t="s">
        <v>580</v>
      </c>
      <c r="E284" s="66">
        <v>3572.2235155293615</v>
      </c>
      <c r="F284" s="74" t="s">
        <v>91</v>
      </c>
      <c r="G284" s="68">
        <v>2265.06</v>
      </c>
      <c r="H284" s="72" t="s">
        <v>97</v>
      </c>
      <c r="I284" s="88" t="s">
        <v>581</v>
      </c>
      <c r="J284" s="132">
        <v>3572.2235155293615</v>
      </c>
      <c r="K284" s="132">
        <v>2265.06</v>
      </c>
      <c r="L284" s="133">
        <v>0.63407566468145393</v>
      </c>
      <c r="M284" s="132">
        <v>2265</v>
      </c>
      <c r="N284" s="134">
        <v>0.63405886842003889</v>
      </c>
      <c r="O284" s="132">
        <v>1307.2235155293615</v>
      </c>
      <c r="P284" s="133">
        <v>0.36594113157996117</v>
      </c>
    </row>
    <row r="285" spans="1:16" ht="20.25" customHeight="1">
      <c r="A285" s="63">
        <v>281</v>
      </c>
      <c r="B285" s="92">
        <v>8</v>
      </c>
      <c r="C285" s="62" t="s">
        <v>50</v>
      </c>
      <c r="D285" s="131" t="s">
        <v>582</v>
      </c>
      <c r="E285" s="66">
        <v>19611.384850335791</v>
      </c>
      <c r="F285" s="67" t="s">
        <v>91</v>
      </c>
      <c r="G285" s="68">
        <v>16013.86</v>
      </c>
      <c r="H285" s="72" t="s">
        <v>97</v>
      </c>
      <c r="I285" s="88" t="s">
        <v>583</v>
      </c>
      <c r="J285" s="132">
        <v>19611.384850335791</v>
      </c>
      <c r="K285" s="132">
        <v>16013.86</v>
      </c>
      <c r="L285" s="133">
        <v>0.81655936703143162</v>
      </c>
      <c r="M285" s="132">
        <v>16013.415316418694</v>
      </c>
      <c r="N285" s="134">
        <v>0.81653669226446846</v>
      </c>
      <c r="O285" s="132">
        <v>3597.9695339170976</v>
      </c>
      <c r="P285" s="133">
        <v>0.1834633077355316</v>
      </c>
    </row>
    <row r="286" spans="1:16" ht="20.25" customHeight="1">
      <c r="A286" s="63">
        <v>282</v>
      </c>
      <c r="B286" s="92">
        <v>9</v>
      </c>
      <c r="C286" s="62" t="s">
        <v>50</v>
      </c>
      <c r="D286" s="131" t="s">
        <v>584</v>
      </c>
      <c r="E286" s="66">
        <v>2164.0629831683145</v>
      </c>
      <c r="F286" s="74" t="s">
        <v>91</v>
      </c>
      <c r="G286" s="68">
        <v>1082</v>
      </c>
      <c r="H286" s="72" t="s">
        <v>116</v>
      </c>
      <c r="I286" s="88" t="s">
        <v>542</v>
      </c>
      <c r="J286" s="132">
        <v>2164.0629831683145</v>
      </c>
      <c r="K286" s="132">
        <v>1082</v>
      </c>
      <c r="L286" s="133">
        <v>0.49998544793547961</v>
      </c>
      <c r="M286" s="132">
        <v>1082</v>
      </c>
      <c r="N286" s="134">
        <v>0.49998544793547961</v>
      </c>
      <c r="O286" s="132">
        <v>1082.0629831683145</v>
      </c>
      <c r="P286" s="133">
        <v>0.50001455206452039</v>
      </c>
    </row>
    <row r="287" spans="1:16" ht="20.25" customHeight="1">
      <c r="A287" s="63">
        <v>283</v>
      </c>
      <c r="B287" s="63">
        <v>1</v>
      </c>
      <c r="C287" s="64" t="s">
        <v>51</v>
      </c>
      <c r="D287" s="131" t="s">
        <v>585</v>
      </c>
      <c r="E287" s="84">
        <v>41098.590661478658</v>
      </c>
      <c r="F287" s="67" t="s">
        <v>104</v>
      </c>
      <c r="G287" s="68">
        <v>32164.14</v>
      </c>
      <c r="H287" s="72" t="s">
        <v>97</v>
      </c>
      <c r="I287" s="88" t="s">
        <v>586</v>
      </c>
      <c r="J287" s="132">
        <v>41098.590661478658</v>
      </c>
      <c r="K287" s="132">
        <v>32164.14</v>
      </c>
      <c r="L287" s="133">
        <v>0.78260931779704945</v>
      </c>
      <c r="M287" s="132"/>
      <c r="N287" s="134">
        <v>0</v>
      </c>
      <c r="O287" s="132">
        <v>41098.590661478658</v>
      </c>
      <c r="P287" s="133">
        <v>1</v>
      </c>
    </row>
    <row r="288" spans="1:16" ht="20.25" customHeight="1">
      <c r="A288" s="63">
        <v>284</v>
      </c>
      <c r="B288" s="63">
        <v>2</v>
      </c>
      <c r="C288" s="64" t="s">
        <v>51</v>
      </c>
      <c r="D288" s="131" t="s">
        <v>587</v>
      </c>
      <c r="E288" s="66">
        <v>16843.85038115488</v>
      </c>
      <c r="F288" s="74" t="s">
        <v>104</v>
      </c>
      <c r="G288" s="68">
        <v>15985</v>
      </c>
      <c r="H288" s="72" t="s">
        <v>116</v>
      </c>
      <c r="I288" s="88" t="s">
        <v>588</v>
      </c>
      <c r="J288" s="132">
        <v>16843.85038115488</v>
      </c>
      <c r="K288" s="132">
        <v>15985</v>
      </c>
      <c r="L288" s="133">
        <v>0.94901104191024088</v>
      </c>
      <c r="M288" s="132"/>
      <c r="N288" s="134">
        <v>0</v>
      </c>
      <c r="O288" s="132">
        <v>16843.85038115488</v>
      </c>
      <c r="P288" s="133">
        <v>1</v>
      </c>
    </row>
    <row r="289" spans="1:16" ht="20.25" customHeight="1">
      <c r="A289" s="63">
        <v>285</v>
      </c>
      <c r="B289" s="63">
        <v>3</v>
      </c>
      <c r="C289" s="64" t="s">
        <v>51</v>
      </c>
      <c r="D289" s="131" t="s">
        <v>589</v>
      </c>
      <c r="E289" s="66">
        <v>1620.8858962842853</v>
      </c>
      <c r="F289" s="67" t="s">
        <v>104</v>
      </c>
      <c r="G289" s="68">
        <v>845.18</v>
      </c>
      <c r="H289" s="72" t="s">
        <v>126</v>
      </c>
      <c r="I289" s="88" t="s">
        <v>590</v>
      </c>
      <c r="J289" s="132">
        <v>1620.8858962842853</v>
      </c>
      <c r="K289" s="132">
        <v>845.18</v>
      </c>
      <c r="L289" s="133">
        <v>0.52143090512261747</v>
      </c>
      <c r="M289" s="132"/>
      <c r="N289" s="134">
        <v>0</v>
      </c>
      <c r="O289" s="132">
        <v>1620.8858962842853</v>
      </c>
      <c r="P289" s="133">
        <v>1</v>
      </c>
    </row>
    <row r="290" spans="1:16" ht="20.25" customHeight="1">
      <c r="A290" s="63">
        <v>286</v>
      </c>
      <c r="B290" s="63">
        <v>4</v>
      </c>
      <c r="C290" s="64" t="s">
        <v>51</v>
      </c>
      <c r="D290" s="131" t="s">
        <v>591</v>
      </c>
      <c r="E290" s="66">
        <v>1564.2662942887334</v>
      </c>
      <c r="F290" s="74" t="s">
        <v>91</v>
      </c>
      <c r="G290" s="68">
        <v>509.54</v>
      </c>
      <c r="H290" s="72" t="s">
        <v>116</v>
      </c>
      <c r="I290" s="88" t="s">
        <v>349</v>
      </c>
      <c r="J290" s="132">
        <v>1564.2662942887334</v>
      </c>
      <c r="K290" s="132">
        <v>509.54</v>
      </c>
      <c r="L290" s="133">
        <v>0.32573737723581531</v>
      </c>
      <c r="M290" s="132">
        <v>491</v>
      </c>
      <c r="N290" s="134">
        <v>0.31388517530083077</v>
      </c>
      <c r="O290" s="132">
        <v>1073.2662942887334</v>
      </c>
      <c r="P290" s="133">
        <v>0.68611482469916929</v>
      </c>
    </row>
    <row r="291" spans="1:16" ht="20.25" customHeight="1">
      <c r="A291" s="63">
        <v>287</v>
      </c>
      <c r="B291" s="63">
        <v>5</v>
      </c>
      <c r="C291" s="64" t="s">
        <v>51</v>
      </c>
      <c r="D291" s="131" t="s">
        <v>592</v>
      </c>
      <c r="E291" s="66">
        <v>15004.399421588989</v>
      </c>
      <c r="F291" s="67" t="s">
        <v>123</v>
      </c>
      <c r="G291" s="68"/>
      <c r="H291" s="72" t="s">
        <v>116</v>
      </c>
      <c r="I291" s="88" t="s">
        <v>612</v>
      </c>
      <c r="J291" s="132">
        <v>15004.399421588989</v>
      </c>
      <c r="K291" s="132"/>
      <c r="L291" s="133">
        <v>0</v>
      </c>
      <c r="M291" s="132"/>
      <c r="N291" s="134">
        <v>0</v>
      </c>
      <c r="O291" s="132">
        <v>15004.399421588989</v>
      </c>
      <c r="P291" s="133">
        <v>1</v>
      </c>
    </row>
    <row r="292" spans="1:16" ht="20.25" customHeight="1">
      <c r="A292" s="63">
        <v>288</v>
      </c>
      <c r="B292" s="63">
        <v>6</v>
      </c>
      <c r="C292" s="64" t="s">
        <v>51</v>
      </c>
      <c r="D292" s="131" t="s">
        <v>594</v>
      </c>
      <c r="E292" s="66">
        <v>50281.807291596626</v>
      </c>
      <c r="F292" s="74" t="s">
        <v>91</v>
      </c>
      <c r="G292" s="68">
        <v>44067.62</v>
      </c>
      <c r="H292" s="72" t="s">
        <v>97</v>
      </c>
      <c r="I292" s="88" t="s">
        <v>595</v>
      </c>
      <c r="J292" s="132">
        <v>50281.807291596626</v>
      </c>
      <c r="K292" s="132">
        <v>44067.62</v>
      </c>
      <c r="L292" s="133">
        <v>0.87641280959614254</v>
      </c>
      <c r="M292" s="132">
        <v>43273.465465317364</v>
      </c>
      <c r="N292" s="134">
        <v>0.86061873660116961</v>
      </c>
      <c r="O292" s="132">
        <v>7008.341826279262</v>
      </c>
      <c r="P292" s="133">
        <v>0.13938126339883045</v>
      </c>
    </row>
    <row r="293" spans="1:16" ht="20.25" customHeight="1">
      <c r="A293" s="63">
        <v>289</v>
      </c>
      <c r="B293" s="63">
        <v>7</v>
      </c>
      <c r="C293" s="64" t="s">
        <v>51</v>
      </c>
      <c r="D293" s="131" t="s">
        <v>596</v>
      </c>
      <c r="E293" s="66">
        <v>39388.978943097041</v>
      </c>
      <c r="F293" s="67" t="s">
        <v>91</v>
      </c>
      <c r="G293" s="68">
        <v>83057.64</v>
      </c>
      <c r="H293" s="72" t="s">
        <v>97</v>
      </c>
      <c r="I293" s="88" t="s">
        <v>597</v>
      </c>
      <c r="J293" s="132">
        <v>39388.978943097041</v>
      </c>
      <c r="K293" s="132">
        <v>83057.64</v>
      </c>
      <c r="L293" s="133">
        <v>2.1086517657639341</v>
      </c>
      <c r="M293" s="132">
        <v>33721.013647718784</v>
      </c>
      <c r="N293" s="134">
        <v>0.85610276154742582</v>
      </c>
      <c r="O293" s="132">
        <v>5667.965295378257</v>
      </c>
      <c r="P293" s="133">
        <v>0.14389723845257416</v>
      </c>
    </row>
    <row r="294" spans="1:16" ht="20.25" customHeight="1">
      <c r="A294" s="63">
        <v>290</v>
      </c>
      <c r="B294" s="63">
        <v>8</v>
      </c>
      <c r="C294" s="64" t="s">
        <v>51</v>
      </c>
      <c r="D294" s="131" t="s">
        <v>598</v>
      </c>
      <c r="E294" s="84">
        <v>5117.3727613116989</v>
      </c>
      <c r="F294" s="74" t="s">
        <v>123</v>
      </c>
      <c r="G294" s="68"/>
      <c r="H294" s="72" t="s">
        <v>116</v>
      </c>
      <c r="I294" s="88" t="s">
        <v>599</v>
      </c>
      <c r="J294" s="132">
        <v>5117.3727613116989</v>
      </c>
      <c r="K294" s="132"/>
      <c r="L294" s="133">
        <v>0</v>
      </c>
      <c r="M294" s="132"/>
      <c r="N294" s="134">
        <v>0</v>
      </c>
      <c r="O294" s="132">
        <v>5117.3727613116989</v>
      </c>
      <c r="P294" s="133">
        <v>1</v>
      </c>
    </row>
    <row r="295" spans="1:16" ht="20.25" customHeight="1">
      <c r="A295" s="63">
        <v>291</v>
      </c>
      <c r="B295" s="63">
        <v>9</v>
      </c>
      <c r="C295" s="64" t="s">
        <v>51</v>
      </c>
      <c r="D295" s="131" t="s">
        <v>600</v>
      </c>
      <c r="E295" s="84">
        <v>54918.064678249575</v>
      </c>
      <c r="F295" s="67" t="s">
        <v>91</v>
      </c>
      <c r="G295" s="68">
        <v>110162.4</v>
      </c>
      <c r="H295" s="72" t="s">
        <v>97</v>
      </c>
      <c r="I295" s="88" t="s">
        <v>601</v>
      </c>
      <c r="J295" s="132">
        <v>54918.064678249575</v>
      </c>
      <c r="K295" s="132">
        <v>110162.4</v>
      </c>
      <c r="L295" s="133">
        <v>2.0059410440883592</v>
      </c>
      <c r="M295" s="132">
        <v>54623.356116813913</v>
      </c>
      <c r="N295" s="134">
        <v>0.99463366811699794</v>
      </c>
      <c r="O295" s="132">
        <v>294.70856143566198</v>
      </c>
      <c r="P295" s="133">
        <v>5.366331883002097E-3</v>
      </c>
    </row>
    <row r="296" spans="1:16" ht="20.25" customHeight="1">
      <c r="A296" s="63">
        <v>292</v>
      </c>
      <c r="B296" s="63">
        <v>10</v>
      </c>
      <c r="C296" s="64" t="s">
        <v>51</v>
      </c>
      <c r="D296" s="131" t="s">
        <v>602</v>
      </c>
      <c r="E296" s="66">
        <v>8704.1668223644701</v>
      </c>
      <c r="F296" s="74" t="s">
        <v>91</v>
      </c>
      <c r="G296" s="68">
        <v>13924</v>
      </c>
      <c r="H296" s="72" t="s">
        <v>116</v>
      </c>
      <c r="I296" s="88" t="s">
        <v>603</v>
      </c>
      <c r="J296" s="132">
        <v>8704.1668223644701</v>
      </c>
      <c r="K296" s="132">
        <v>13924</v>
      </c>
      <c r="L296" s="133">
        <v>1.5996936047024857</v>
      </c>
      <c r="M296" s="132">
        <v>7688</v>
      </c>
      <c r="N296" s="134">
        <v>0.88325513020344082</v>
      </c>
      <c r="O296" s="132">
        <v>1016.1668223644701</v>
      </c>
      <c r="P296" s="133">
        <v>0.11674486979655915</v>
      </c>
    </row>
    <row r="297" spans="1:16" ht="20.25" customHeight="1">
      <c r="A297" s="63">
        <v>293</v>
      </c>
      <c r="B297" s="63">
        <v>1</v>
      </c>
      <c r="C297" s="62" t="s">
        <v>52</v>
      </c>
      <c r="D297" s="131" t="s">
        <v>604</v>
      </c>
      <c r="E297" s="66">
        <v>557.55256569003154</v>
      </c>
      <c r="F297" s="67" t="s">
        <v>91</v>
      </c>
      <c r="G297" s="68">
        <v>230640</v>
      </c>
      <c r="H297" s="72" t="s">
        <v>126</v>
      </c>
      <c r="I297" s="88" t="s">
        <v>605</v>
      </c>
      <c r="J297" s="132">
        <v>557.55256569003154</v>
      </c>
      <c r="K297" s="132">
        <v>230640</v>
      </c>
      <c r="L297" s="133">
        <v>413.66503212940665</v>
      </c>
      <c r="M297" s="132">
        <v>522</v>
      </c>
      <c r="N297" s="134">
        <v>0.93623459404938547</v>
      </c>
      <c r="O297" s="132">
        <v>35.552565690031543</v>
      </c>
      <c r="P297" s="133">
        <v>6.3765405950614543E-2</v>
      </c>
    </row>
    <row r="298" spans="1:16" ht="20.25" customHeight="1">
      <c r="A298" s="63">
        <v>294</v>
      </c>
      <c r="B298" s="63">
        <v>2</v>
      </c>
      <c r="C298" s="62" t="s">
        <v>52</v>
      </c>
      <c r="D298" s="131" t="s">
        <v>606</v>
      </c>
      <c r="E298" s="66">
        <v>5505.1090567668698</v>
      </c>
      <c r="F298" s="74" t="s">
        <v>91</v>
      </c>
      <c r="G298" s="68">
        <v>3849</v>
      </c>
      <c r="H298" s="72" t="s">
        <v>116</v>
      </c>
      <c r="I298" s="88" t="s">
        <v>262</v>
      </c>
      <c r="J298" s="132">
        <v>5505.1090567668698</v>
      </c>
      <c r="K298" s="132">
        <v>3849</v>
      </c>
      <c r="L298" s="133">
        <v>0.69916871043068918</v>
      </c>
      <c r="M298" s="132">
        <v>3096</v>
      </c>
      <c r="N298" s="134">
        <v>0.56238667900582329</v>
      </c>
      <c r="O298" s="132">
        <v>2409.1090567668698</v>
      </c>
      <c r="P298" s="133">
        <v>0.43761332099417677</v>
      </c>
    </row>
    <row r="299" spans="1:16" ht="20.25" customHeight="1">
      <c r="A299" s="63">
        <v>295</v>
      </c>
      <c r="B299" s="63">
        <v>3</v>
      </c>
      <c r="C299" s="62" t="s">
        <v>52</v>
      </c>
      <c r="D299" s="131" t="s">
        <v>607</v>
      </c>
      <c r="E299" s="66">
        <v>4257.7466925032113</v>
      </c>
      <c r="F299" s="67" t="s">
        <v>91</v>
      </c>
      <c r="G299" s="68">
        <v>4265.1899999999996</v>
      </c>
      <c r="H299" s="72" t="s">
        <v>126</v>
      </c>
      <c r="I299" s="88" t="s">
        <v>608</v>
      </c>
      <c r="J299" s="132">
        <v>4257.7466925032113</v>
      </c>
      <c r="K299" s="132">
        <v>4265.1899999999996</v>
      </c>
      <c r="L299" s="133">
        <v>1.0017481799727292</v>
      </c>
      <c r="M299" s="132">
        <v>4257.7467130000005</v>
      </c>
      <c r="N299" s="134">
        <v>1.0000000048139992</v>
      </c>
      <c r="O299" s="132">
        <v>-2.0496789147728123E-5</v>
      </c>
      <c r="P299" s="133">
        <v>-4.8139991944137158E-9</v>
      </c>
    </row>
    <row r="300" spans="1:16" ht="20.25" customHeight="1">
      <c r="A300" s="63">
        <v>296</v>
      </c>
      <c r="B300" s="63">
        <v>4</v>
      </c>
      <c r="C300" s="62" t="s">
        <v>52</v>
      </c>
      <c r="D300" s="131" t="s">
        <v>609</v>
      </c>
      <c r="E300" s="66">
        <v>567.24534491888608</v>
      </c>
      <c r="F300" s="74" t="s">
        <v>91</v>
      </c>
      <c r="G300" s="68">
        <v>10575.73</v>
      </c>
      <c r="H300" s="72" t="s">
        <v>126</v>
      </c>
      <c r="I300" s="88" t="s">
        <v>610</v>
      </c>
      <c r="J300" s="132">
        <v>567.24534491888608</v>
      </c>
      <c r="K300" s="132">
        <v>10575.73</v>
      </c>
      <c r="L300" s="133">
        <v>18.644013731857576</v>
      </c>
      <c r="M300" s="132">
        <v>423</v>
      </c>
      <c r="N300" s="134">
        <v>0.74570907243053253</v>
      </c>
      <c r="O300" s="132">
        <v>144.24534491888608</v>
      </c>
      <c r="P300" s="133">
        <v>0.25429092756946753</v>
      </c>
    </row>
    <row r="301" spans="1:16" ht="20.25" customHeight="1">
      <c r="A301" s="63">
        <v>297</v>
      </c>
      <c r="B301" s="63">
        <v>6</v>
      </c>
      <c r="C301" s="62" t="s">
        <v>52</v>
      </c>
      <c r="D301" s="131" t="s">
        <v>611</v>
      </c>
      <c r="E301" s="66">
        <v>487.39773179582659</v>
      </c>
      <c r="F301" s="67" t="s">
        <v>123</v>
      </c>
      <c r="G301" s="68"/>
      <c r="H301" s="72" t="s">
        <v>116</v>
      </c>
      <c r="I301" s="88" t="s">
        <v>612</v>
      </c>
      <c r="J301" s="132">
        <v>487.39773179582659</v>
      </c>
      <c r="K301" s="132"/>
      <c r="L301" s="133">
        <v>0</v>
      </c>
      <c r="M301" s="132"/>
      <c r="N301" s="134">
        <v>0</v>
      </c>
      <c r="O301" s="132">
        <v>487.39773179582659</v>
      </c>
      <c r="P301" s="133">
        <v>1</v>
      </c>
    </row>
    <row r="302" spans="1:16" ht="20.25" customHeight="1">
      <c r="A302" s="63">
        <v>298</v>
      </c>
      <c r="B302" s="63">
        <v>5</v>
      </c>
      <c r="C302" s="62" t="s">
        <v>52</v>
      </c>
      <c r="D302" s="131" t="s">
        <v>613</v>
      </c>
      <c r="E302" s="66">
        <v>15236.646580694654</v>
      </c>
      <c r="F302" s="74" t="s">
        <v>104</v>
      </c>
      <c r="G302" s="68">
        <v>64742</v>
      </c>
      <c r="H302" s="72" t="s">
        <v>126</v>
      </c>
      <c r="I302" s="88" t="s">
        <v>614</v>
      </c>
      <c r="J302" s="132">
        <v>15236.646580694654</v>
      </c>
      <c r="K302" s="132">
        <v>64742</v>
      </c>
      <c r="L302" s="133">
        <v>4.2490977038235105</v>
      </c>
      <c r="M302" s="132"/>
      <c r="N302" s="134">
        <v>0</v>
      </c>
      <c r="O302" s="132">
        <v>15236.646580694654</v>
      </c>
      <c r="P302" s="133">
        <v>1</v>
      </c>
    </row>
    <row r="303" spans="1:16" ht="20.25" customHeight="1">
      <c r="A303" s="63">
        <v>299</v>
      </c>
      <c r="B303" s="63">
        <v>7</v>
      </c>
      <c r="C303" s="62" t="s">
        <v>52</v>
      </c>
      <c r="D303" s="131" t="s">
        <v>615</v>
      </c>
      <c r="E303" s="66">
        <v>81.986673597423604</v>
      </c>
      <c r="F303" s="67" t="s">
        <v>104</v>
      </c>
      <c r="G303" s="68">
        <v>620</v>
      </c>
      <c r="H303" s="72" t="s">
        <v>116</v>
      </c>
      <c r="I303" s="88" t="s">
        <v>267</v>
      </c>
      <c r="J303" s="132">
        <v>81.986673597423604</v>
      </c>
      <c r="K303" s="132">
        <v>620</v>
      </c>
      <c r="L303" s="133">
        <v>7.5622045973515775</v>
      </c>
      <c r="M303" s="132"/>
      <c r="N303" s="134">
        <v>0</v>
      </c>
      <c r="O303" s="132">
        <v>81.986673597423604</v>
      </c>
      <c r="P303" s="133">
        <v>1</v>
      </c>
    </row>
    <row r="304" spans="1:16" ht="20.25" customHeight="1">
      <c r="A304" s="63">
        <v>300</v>
      </c>
      <c r="B304" s="63">
        <v>8</v>
      </c>
      <c r="C304" s="62" t="s">
        <v>52</v>
      </c>
      <c r="D304" s="131" t="s">
        <v>616</v>
      </c>
      <c r="E304" s="66">
        <v>4901.3803524166642</v>
      </c>
      <c r="F304" s="74" t="s">
        <v>91</v>
      </c>
      <c r="G304" s="68">
        <v>21787.460000000003</v>
      </c>
      <c r="H304" s="72" t="s">
        <v>97</v>
      </c>
      <c r="I304" s="88" t="s">
        <v>617</v>
      </c>
      <c r="J304" s="132">
        <v>4901.3803524166642</v>
      </c>
      <c r="K304" s="132">
        <v>21787.460000000003</v>
      </c>
      <c r="L304" s="133">
        <v>4.4451681839499608</v>
      </c>
      <c r="M304" s="135">
        <v>4665.3286532201</v>
      </c>
      <c r="N304" s="134">
        <v>0.95183975079996042</v>
      </c>
      <c r="O304" s="132">
        <v>236.05169919656419</v>
      </c>
      <c r="P304" s="133">
        <v>4.8160249200039543E-2</v>
      </c>
    </row>
    <row r="305" spans="1:16" ht="20.25" customHeight="1">
      <c r="A305" s="63">
        <v>301</v>
      </c>
      <c r="B305" s="63">
        <v>9</v>
      </c>
      <c r="C305" s="62" t="s">
        <v>52</v>
      </c>
      <c r="D305" s="131" t="s">
        <v>618</v>
      </c>
      <c r="E305" s="66">
        <v>12240.749552628569</v>
      </c>
      <c r="F305" s="67" t="s">
        <v>91</v>
      </c>
      <c r="G305" s="68">
        <v>36425.19</v>
      </c>
      <c r="H305" s="72" t="s">
        <v>92</v>
      </c>
      <c r="I305" s="88" t="s">
        <v>619</v>
      </c>
      <c r="J305" s="132">
        <v>12240.749552628569</v>
      </c>
      <c r="K305" s="132">
        <v>36425.19</v>
      </c>
      <c r="L305" s="133">
        <v>2.9757319879302724</v>
      </c>
      <c r="M305" s="135"/>
      <c r="N305" s="134">
        <v>0</v>
      </c>
      <c r="O305" s="132">
        <v>12240.749552628569</v>
      </c>
      <c r="P305" s="133">
        <v>1</v>
      </c>
    </row>
    <row r="306" spans="1:16" ht="20.25" customHeight="1">
      <c r="A306" s="63">
        <v>302</v>
      </c>
      <c r="B306" s="63">
        <v>10</v>
      </c>
      <c r="C306" s="62" t="s">
        <v>52</v>
      </c>
      <c r="D306" s="131" t="s">
        <v>620</v>
      </c>
      <c r="E306" s="66">
        <v>18267.238561233615</v>
      </c>
      <c r="F306" s="74" t="s">
        <v>91</v>
      </c>
      <c r="G306" s="68">
        <v>19119</v>
      </c>
      <c r="H306" s="72" t="s">
        <v>116</v>
      </c>
      <c r="I306" s="88" t="s">
        <v>621</v>
      </c>
      <c r="J306" s="132">
        <v>18267.238561233615</v>
      </c>
      <c r="K306" s="132">
        <v>19119</v>
      </c>
      <c r="L306" s="133">
        <v>1.0466278160167009</v>
      </c>
      <c r="M306" s="132">
        <v>17752.379158040527</v>
      </c>
      <c r="N306" s="134">
        <v>0.97181514866260554</v>
      </c>
      <c r="O306" s="132">
        <v>514.85940319308793</v>
      </c>
      <c r="P306" s="133">
        <v>2.8184851337394408E-2</v>
      </c>
    </row>
    <row r="307" spans="1:16" ht="20.25" customHeight="1">
      <c r="A307" s="63">
        <v>303</v>
      </c>
      <c r="B307" s="63">
        <v>11</v>
      </c>
      <c r="C307" s="62" t="s">
        <v>52</v>
      </c>
      <c r="D307" s="131" t="s">
        <v>622</v>
      </c>
      <c r="E307" s="66">
        <v>13627.13033272666</v>
      </c>
      <c r="F307" s="67" t="s">
        <v>91</v>
      </c>
      <c r="G307" s="68">
        <v>31052.38</v>
      </c>
      <c r="H307" s="72" t="s">
        <v>97</v>
      </c>
      <c r="I307" s="88" t="s">
        <v>623</v>
      </c>
      <c r="J307" s="132">
        <v>13627.13033272666</v>
      </c>
      <c r="K307" s="132">
        <v>31052.38</v>
      </c>
      <c r="L307" s="133">
        <v>2.2787174732911439</v>
      </c>
      <c r="M307" s="132">
        <v>13044.03989261987</v>
      </c>
      <c r="N307" s="134">
        <v>0.95721106161974179</v>
      </c>
      <c r="O307" s="132">
        <v>583.09044010678917</v>
      </c>
      <c r="P307" s="133">
        <v>4.2788938380258254E-2</v>
      </c>
    </row>
    <row r="308" spans="1:16" ht="20.25" customHeight="1">
      <c r="A308" s="63">
        <v>304</v>
      </c>
      <c r="B308" s="63">
        <v>12</v>
      </c>
      <c r="C308" s="62" t="s">
        <v>52</v>
      </c>
      <c r="D308" s="131" t="s">
        <v>624</v>
      </c>
      <c r="E308" s="66">
        <v>7072.646832982824</v>
      </c>
      <c r="F308" s="74" t="s">
        <v>104</v>
      </c>
      <c r="G308" s="68">
        <v>9936</v>
      </c>
      <c r="H308" s="72" t="s">
        <v>116</v>
      </c>
      <c r="I308" s="88" t="s">
        <v>625</v>
      </c>
      <c r="J308" s="132">
        <v>7072.646832982824</v>
      </c>
      <c r="K308" s="132">
        <v>9936</v>
      </c>
      <c r="L308" s="133">
        <v>1.4048488825518781</v>
      </c>
      <c r="M308" s="132"/>
      <c r="N308" s="134">
        <v>0</v>
      </c>
      <c r="O308" s="132">
        <v>7072.646832982824</v>
      </c>
      <c r="P308" s="133">
        <v>1</v>
      </c>
    </row>
    <row r="309" spans="1:16" ht="20.25" customHeight="1">
      <c r="A309" s="63">
        <v>305</v>
      </c>
      <c r="B309" s="63">
        <v>13</v>
      </c>
      <c r="C309" s="62" t="s">
        <v>52</v>
      </c>
      <c r="D309" s="131" t="s">
        <v>626</v>
      </c>
      <c r="E309" s="66">
        <v>7319.5299253026415</v>
      </c>
      <c r="F309" s="67" t="s">
        <v>104</v>
      </c>
      <c r="G309" s="68">
        <v>35850</v>
      </c>
      <c r="H309" s="72" t="s">
        <v>126</v>
      </c>
      <c r="I309" s="88" t="s">
        <v>627</v>
      </c>
      <c r="J309" s="132">
        <v>7319.5299253026415</v>
      </c>
      <c r="K309" s="132">
        <v>35850</v>
      </c>
      <c r="L309" s="133">
        <v>4.8978555133808959</v>
      </c>
      <c r="M309" s="132"/>
      <c r="N309" s="134">
        <v>0</v>
      </c>
      <c r="O309" s="132">
        <v>7319.5299253026415</v>
      </c>
      <c r="P309" s="133">
        <v>1</v>
      </c>
    </row>
    <row r="310" spans="1:16" ht="20.25" customHeight="1">
      <c r="A310" s="63">
        <v>306</v>
      </c>
      <c r="B310" s="63">
        <v>14</v>
      </c>
      <c r="C310" s="62" t="s">
        <v>52</v>
      </c>
      <c r="D310" s="131" t="s">
        <v>628</v>
      </c>
      <c r="E310" s="66">
        <v>10256.396143839016</v>
      </c>
      <c r="F310" s="74" t="s">
        <v>91</v>
      </c>
      <c r="G310" s="68">
        <v>16495.45</v>
      </c>
      <c r="H310" s="72" t="s">
        <v>92</v>
      </c>
      <c r="I310" s="88" t="s">
        <v>629</v>
      </c>
      <c r="J310" s="132">
        <v>10256.396143839016</v>
      </c>
      <c r="K310" s="132">
        <v>16495.45</v>
      </c>
      <c r="L310" s="133">
        <v>1.6083085879935286</v>
      </c>
      <c r="M310" s="132">
        <v>9971.4577285269461</v>
      </c>
      <c r="N310" s="134">
        <v>0.97221846628035802</v>
      </c>
      <c r="O310" s="132">
        <v>284.93841531206999</v>
      </c>
      <c r="P310" s="133">
        <v>2.7781533719642017E-2</v>
      </c>
    </row>
    <row r="311" spans="1:16" ht="20.25" customHeight="1">
      <c r="A311" s="63">
        <v>307</v>
      </c>
      <c r="B311" s="63">
        <v>15</v>
      </c>
      <c r="C311" s="62" t="s">
        <v>52</v>
      </c>
      <c r="D311" s="131" t="s">
        <v>630</v>
      </c>
      <c r="E311" s="66">
        <v>2387.6784156206354</v>
      </c>
      <c r="F311" s="67" t="s">
        <v>104</v>
      </c>
      <c r="G311" s="68">
        <v>15574</v>
      </c>
      <c r="H311" s="72" t="s">
        <v>116</v>
      </c>
      <c r="I311" s="88" t="s">
        <v>631</v>
      </c>
      <c r="J311" s="132">
        <v>2387.6784156206354</v>
      </c>
      <c r="K311" s="132">
        <v>15574</v>
      </c>
      <c r="L311" s="133">
        <v>6.5226539294873218</v>
      </c>
      <c r="M311" s="132"/>
      <c r="N311" s="134">
        <v>0</v>
      </c>
      <c r="O311" s="132">
        <v>2387.6784156206354</v>
      </c>
      <c r="P311" s="133">
        <v>1</v>
      </c>
    </row>
    <row r="312" spans="1:16" ht="20.25" customHeight="1">
      <c r="A312" s="63">
        <v>308</v>
      </c>
      <c r="B312" s="63">
        <v>16</v>
      </c>
      <c r="C312" s="62" t="s">
        <v>52</v>
      </c>
      <c r="D312" s="131" t="s">
        <v>632</v>
      </c>
      <c r="E312" s="66">
        <v>2011.5256646659145</v>
      </c>
      <c r="F312" s="74" t="s">
        <v>91</v>
      </c>
      <c r="G312" s="68">
        <v>1906.8</v>
      </c>
      <c r="H312" s="72" t="s">
        <v>126</v>
      </c>
      <c r="I312" s="88" t="s">
        <v>633</v>
      </c>
      <c r="J312" s="132">
        <v>2011.5256646659145</v>
      </c>
      <c r="K312" s="132">
        <v>1906.8</v>
      </c>
      <c r="L312" s="133">
        <v>0.94793719687225164</v>
      </c>
      <c r="M312" s="132">
        <v>1873</v>
      </c>
      <c r="N312" s="134">
        <v>0.9311340307015562</v>
      </c>
      <c r="O312" s="132">
        <v>138.52566466591452</v>
      </c>
      <c r="P312" s="133">
        <v>6.8865969298443741E-2</v>
      </c>
    </row>
    <row r="313" spans="1:16" ht="20.25" customHeight="1">
      <c r="A313" s="63">
        <v>309</v>
      </c>
      <c r="B313" s="63">
        <v>17</v>
      </c>
      <c r="C313" s="62" t="s">
        <v>52</v>
      </c>
      <c r="D313" s="131" t="s">
        <v>634</v>
      </c>
      <c r="E313" s="66">
        <v>7800.4290917860417</v>
      </c>
      <c r="F313" s="67" t="s">
        <v>104</v>
      </c>
      <c r="G313" s="68">
        <v>7863</v>
      </c>
      <c r="H313" s="72" t="s">
        <v>116</v>
      </c>
      <c r="I313" s="88" t="s">
        <v>159</v>
      </c>
      <c r="J313" s="132">
        <v>7800.4290917860417</v>
      </c>
      <c r="K313" s="132">
        <v>7863</v>
      </c>
      <c r="L313" s="133">
        <v>1.0080214700342378</v>
      </c>
      <c r="M313" s="132"/>
      <c r="N313" s="134">
        <v>0</v>
      </c>
      <c r="O313" s="132">
        <v>7800.4290917860417</v>
      </c>
      <c r="P313" s="133">
        <v>1</v>
      </c>
    </row>
    <row r="314" spans="1:16" ht="20.25" customHeight="1">
      <c r="A314" s="63">
        <v>310</v>
      </c>
      <c r="B314" s="63">
        <v>18</v>
      </c>
      <c r="C314" s="62" t="s">
        <v>52</v>
      </c>
      <c r="D314" s="131" t="s">
        <v>635</v>
      </c>
      <c r="E314" s="66">
        <v>6390.092146617103</v>
      </c>
      <c r="F314" s="74" t="s">
        <v>123</v>
      </c>
      <c r="G314" s="68"/>
      <c r="H314" s="72" t="s">
        <v>116</v>
      </c>
      <c r="I314" s="88" t="s">
        <v>636</v>
      </c>
      <c r="J314" s="132">
        <v>6390.092146617103</v>
      </c>
      <c r="K314" s="132"/>
      <c r="L314" s="133">
        <v>0</v>
      </c>
      <c r="M314" s="132"/>
      <c r="N314" s="134">
        <v>0</v>
      </c>
      <c r="O314" s="132">
        <v>6390.092146617103</v>
      </c>
      <c r="P314" s="133">
        <v>1</v>
      </c>
    </row>
    <row r="315" spans="1:16" ht="20.25" customHeight="1">
      <c r="A315" s="63">
        <v>311</v>
      </c>
      <c r="B315" s="63">
        <v>19</v>
      </c>
      <c r="C315" s="62" t="s">
        <v>52</v>
      </c>
      <c r="D315" s="131" t="s">
        <v>637</v>
      </c>
      <c r="E315" s="66">
        <v>6399.8942205003495</v>
      </c>
      <c r="F315" s="67" t="s">
        <v>104</v>
      </c>
      <c r="G315" s="68">
        <v>5816</v>
      </c>
      <c r="H315" s="72" t="s">
        <v>116</v>
      </c>
      <c r="I315" s="88" t="s">
        <v>145</v>
      </c>
      <c r="J315" s="132">
        <v>6399.8942205003495</v>
      </c>
      <c r="K315" s="132">
        <v>5816</v>
      </c>
      <c r="L315" s="133">
        <v>0.90876502011080107</v>
      </c>
      <c r="M315" s="132"/>
      <c r="N315" s="134">
        <v>0</v>
      </c>
      <c r="O315" s="132">
        <v>6399.8942205003495</v>
      </c>
      <c r="P315" s="133">
        <v>1</v>
      </c>
    </row>
    <row r="316" spans="1:16" ht="20.25" customHeight="1">
      <c r="A316" s="63">
        <v>312</v>
      </c>
      <c r="B316" s="63">
        <v>20</v>
      </c>
      <c r="C316" s="62" t="s">
        <v>52</v>
      </c>
      <c r="D316" s="131" t="s">
        <v>638</v>
      </c>
      <c r="E316" s="66">
        <v>16474.383957999355</v>
      </c>
      <c r="F316" s="74" t="s">
        <v>91</v>
      </c>
      <c r="G316" s="68">
        <v>34678.949999999997</v>
      </c>
      <c r="H316" s="72" t="s">
        <v>92</v>
      </c>
      <c r="I316" s="88" t="s">
        <v>639</v>
      </c>
      <c r="J316" s="132">
        <v>16474.383957999355</v>
      </c>
      <c r="K316" s="132">
        <v>34678.949999999997</v>
      </c>
      <c r="L316" s="133">
        <v>2.105022566453004</v>
      </c>
      <c r="M316" s="132">
        <v>15590.605090370786</v>
      </c>
      <c r="N316" s="134">
        <v>0.94635436020662622</v>
      </c>
      <c r="O316" s="132">
        <v>883.77886762856906</v>
      </c>
      <c r="P316" s="133">
        <v>5.3645639793373792E-2</v>
      </c>
    </row>
    <row r="317" spans="1:16" ht="20.25" customHeight="1">
      <c r="A317" s="63">
        <v>313</v>
      </c>
      <c r="B317" s="63">
        <v>21</v>
      </c>
      <c r="C317" s="62" t="s">
        <v>52</v>
      </c>
      <c r="D317" s="131" t="s">
        <v>640</v>
      </c>
      <c r="E317" s="66">
        <v>5256.3627807396306</v>
      </c>
      <c r="F317" s="67" t="s">
        <v>91</v>
      </c>
      <c r="G317" s="68">
        <v>32478.79</v>
      </c>
      <c r="H317" s="72" t="s">
        <v>97</v>
      </c>
      <c r="I317" s="88" t="s">
        <v>641</v>
      </c>
      <c r="J317" s="132">
        <v>5256.3627807396306</v>
      </c>
      <c r="K317" s="132">
        <v>32478.79</v>
      </c>
      <c r="L317" s="133">
        <v>6.1789475640853428</v>
      </c>
      <c r="M317" s="138">
        <v>3262.3395973253901</v>
      </c>
      <c r="N317" s="134">
        <v>0.62064582172281901</v>
      </c>
      <c r="O317" s="132">
        <v>1994.0231834142405</v>
      </c>
      <c r="P317" s="133">
        <v>0.37935417827718099</v>
      </c>
    </row>
    <row r="318" spans="1:16" ht="20.25" customHeight="1">
      <c r="A318" s="63">
        <v>314</v>
      </c>
      <c r="B318" s="63">
        <v>22</v>
      </c>
      <c r="C318" s="62" t="s">
        <v>52</v>
      </c>
      <c r="D318" s="131" t="s">
        <v>642</v>
      </c>
      <c r="E318" s="66">
        <v>8421.2263183102386</v>
      </c>
      <c r="F318" s="74" t="s">
        <v>91</v>
      </c>
      <c r="G318" s="68">
        <v>15661.33</v>
      </c>
      <c r="H318" s="72" t="s">
        <v>97</v>
      </c>
      <c r="I318" s="88" t="s">
        <v>643</v>
      </c>
      <c r="J318" s="132">
        <v>8421.2263183102386</v>
      </c>
      <c r="K318" s="132">
        <v>15661.33</v>
      </c>
      <c r="L318" s="133">
        <v>1.8597445797113459</v>
      </c>
      <c r="M318" s="135">
        <v>8105.3302324349397</v>
      </c>
      <c r="N318" s="134">
        <v>0.96248811349619623</v>
      </c>
      <c r="O318" s="132">
        <v>315.89608587529892</v>
      </c>
      <c r="P318" s="133">
        <v>3.7511886503803764E-2</v>
      </c>
    </row>
    <row r="319" spans="1:16" ht="20.25" customHeight="1">
      <c r="A319" s="63">
        <v>315</v>
      </c>
      <c r="B319" s="63">
        <v>1</v>
      </c>
      <c r="C319" s="64" t="s">
        <v>53</v>
      </c>
      <c r="D319" s="131" t="s">
        <v>644</v>
      </c>
      <c r="E319" s="93">
        <v>10500.009330164456</v>
      </c>
      <c r="F319" s="67" t="s">
        <v>91</v>
      </c>
      <c r="G319" s="68">
        <v>103865.62</v>
      </c>
      <c r="H319" s="72" t="s">
        <v>97</v>
      </c>
      <c r="I319" s="88" t="s">
        <v>645</v>
      </c>
      <c r="J319" s="132">
        <v>10500.009330164456</v>
      </c>
      <c r="K319" s="132">
        <v>103865.62</v>
      </c>
      <c r="L319" s="133">
        <v>9.8919550196602746</v>
      </c>
      <c r="M319" s="132">
        <v>7600.1979689658228</v>
      </c>
      <c r="N319" s="134">
        <v>0.72382773481276375</v>
      </c>
      <c r="O319" s="132">
        <v>2899.8113611986328</v>
      </c>
      <c r="P319" s="133">
        <v>0.27617226518723625</v>
      </c>
    </row>
    <row r="320" spans="1:16" ht="20.25" customHeight="1">
      <c r="A320" s="63">
        <v>316</v>
      </c>
      <c r="B320" s="63">
        <v>2</v>
      </c>
      <c r="C320" s="64" t="s">
        <v>53</v>
      </c>
      <c r="D320" s="131" t="s">
        <v>646</v>
      </c>
      <c r="E320" s="93">
        <v>12458.903367377237</v>
      </c>
      <c r="F320" s="74" t="s">
        <v>123</v>
      </c>
      <c r="G320" s="68"/>
      <c r="H320" s="72" t="s">
        <v>116</v>
      </c>
      <c r="I320" s="88" t="s">
        <v>647</v>
      </c>
      <c r="J320" s="132">
        <v>12458.903367377237</v>
      </c>
      <c r="K320" s="132"/>
      <c r="L320" s="133">
        <v>0</v>
      </c>
      <c r="M320" s="132"/>
      <c r="N320" s="134">
        <v>0</v>
      </c>
      <c r="O320" s="132">
        <v>12458.903367377237</v>
      </c>
      <c r="P320" s="133">
        <v>1</v>
      </c>
    </row>
    <row r="321" spans="1:16" ht="20.25" customHeight="1">
      <c r="A321" s="63">
        <v>317</v>
      </c>
      <c r="B321" s="63">
        <v>3</v>
      </c>
      <c r="C321" s="64" t="s">
        <v>53</v>
      </c>
      <c r="D321" s="131" t="s">
        <v>648</v>
      </c>
      <c r="E321" s="93">
        <v>12592.611472418303</v>
      </c>
      <c r="F321" s="67" t="s">
        <v>91</v>
      </c>
      <c r="G321" s="68">
        <v>10129.369999999999</v>
      </c>
      <c r="H321" s="72" t="s">
        <v>92</v>
      </c>
      <c r="I321" s="88" t="s">
        <v>649</v>
      </c>
      <c r="J321" s="132">
        <v>12592.611472418303</v>
      </c>
      <c r="K321" s="132">
        <v>10129.369999999999</v>
      </c>
      <c r="L321" s="133">
        <v>0.80438994105284989</v>
      </c>
      <c r="M321" s="132">
        <v>7857.0465479574532</v>
      </c>
      <c r="N321" s="134">
        <v>0.62394099628713273</v>
      </c>
      <c r="O321" s="132">
        <v>4735.5649244608494</v>
      </c>
      <c r="P321" s="133">
        <v>0.37605900371286727</v>
      </c>
    </row>
    <row r="322" spans="1:16" ht="20.25" customHeight="1">
      <c r="A322" s="63">
        <v>318</v>
      </c>
      <c r="B322" s="63">
        <v>4</v>
      </c>
      <c r="C322" s="64" t="s">
        <v>53</v>
      </c>
      <c r="D322" s="131" t="s">
        <v>650</v>
      </c>
      <c r="E322" s="93">
        <v>32525.122046505749</v>
      </c>
      <c r="F322" s="74" t="s">
        <v>123</v>
      </c>
      <c r="G322" s="68">
        <v>0</v>
      </c>
      <c r="H322" s="72" t="s">
        <v>126</v>
      </c>
      <c r="I322" s="88" t="s">
        <v>707</v>
      </c>
      <c r="J322" s="132">
        <v>32525.122046505749</v>
      </c>
      <c r="K322" s="132">
        <v>0</v>
      </c>
      <c r="L322" s="133">
        <v>0</v>
      </c>
      <c r="M322" s="132"/>
      <c r="N322" s="134">
        <v>0</v>
      </c>
      <c r="O322" s="132">
        <v>32525.122046505749</v>
      </c>
      <c r="P322" s="133">
        <v>1</v>
      </c>
    </row>
    <row r="323" spans="1:16" ht="20.25" customHeight="1">
      <c r="A323" s="63">
        <v>319</v>
      </c>
      <c r="B323" s="63">
        <v>5</v>
      </c>
      <c r="C323" s="64" t="s">
        <v>53</v>
      </c>
      <c r="D323" s="131" t="s">
        <v>652</v>
      </c>
      <c r="E323" s="93">
        <v>252.7229243936309</v>
      </c>
      <c r="F323" s="67" t="s">
        <v>123</v>
      </c>
      <c r="G323" s="68"/>
      <c r="H323" s="72" t="s">
        <v>116</v>
      </c>
      <c r="I323" s="88" t="s">
        <v>653</v>
      </c>
      <c r="J323" s="132">
        <v>252.7229243936309</v>
      </c>
      <c r="K323" s="132"/>
      <c r="L323" s="133">
        <v>0</v>
      </c>
      <c r="M323" s="132"/>
      <c r="N323" s="134">
        <v>0</v>
      </c>
      <c r="O323" s="132">
        <v>252.7229243936309</v>
      </c>
      <c r="P323" s="133">
        <v>1</v>
      </c>
    </row>
    <row r="324" spans="1:16" ht="20.25" customHeight="1">
      <c r="A324" s="63">
        <v>320</v>
      </c>
      <c r="B324" s="63">
        <v>6</v>
      </c>
      <c r="C324" s="64" t="s">
        <v>53</v>
      </c>
      <c r="D324" s="131" t="s">
        <v>654</v>
      </c>
      <c r="E324" s="93">
        <v>2699.8937723652225</v>
      </c>
      <c r="F324" s="74" t="s">
        <v>104</v>
      </c>
      <c r="G324" s="68">
        <v>1818</v>
      </c>
      <c r="H324" s="72" t="s">
        <v>116</v>
      </c>
      <c r="I324" s="88" t="s">
        <v>655</v>
      </c>
      <c r="J324" s="132">
        <v>2699.8937723652225</v>
      </c>
      <c r="K324" s="132">
        <v>1818</v>
      </c>
      <c r="L324" s="133">
        <v>0.67335982571171837</v>
      </c>
      <c r="M324" s="132"/>
      <c r="N324" s="134">
        <v>0</v>
      </c>
      <c r="O324" s="132">
        <v>2699.8937723652225</v>
      </c>
      <c r="P324" s="133">
        <v>1</v>
      </c>
    </row>
    <row r="325" spans="1:16" ht="20.25" customHeight="1">
      <c r="A325" s="63">
        <v>321</v>
      </c>
      <c r="B325" s="63">
        <v>7</v>
      </c>
      <c r="C325" s="64" t="s">
        <v>53</v>
      </c>
      <c r="D325" s="131" t="s">
        <v>656</v>
      </c>
      <c r="E325" s="93">
        <v>34869.910974943399</v>
      </c>
      <c r="F325" s="67" t="s">
        <v>91</v>
      </c>
      <c r="G325" s="68">
        <v>15377.32</v>
      </c>
      <c r="H325" s="72" t="s">
        <v>97</v>
      </c>
      <c r="I325" s="88" t="s">
        <v>657</v>
      </c>
      <c r="J325" s="132">
        <v>34869.910974943399</v>
      </c>
      <c r="K325" s="132">
        <v>15377.32</v>
      </c>
      <c r="L325" s="133">
        <v>0.44099108859353664</v>
      </c>
      <c r="M325" s="132">
        <v>10386.193352499284</v>
      </c>
      <c r="N325" s="134">
        <v>0.29785545939484986</v>
      </c>
      <c r="O325" s="132">
        <v>24483.717622444114</v>
      </c>
      <c r="P325" s="133">
        <v>0.70214454060515008</v>
      </c>
    </row>
    <row r="326" spans="1:16" ht="20.25" customHeight="1">
      <c r="A326" s="63">
        <v>322</v>
      </c>
      <c r="B326" s="63">
        <v>8</v>
      </c>
      <c r="C326" s="64" t="s">
        <v>53</v>
      </c>
      <c r="D326" s="131" t="s">
        <v>658</v>
      </c>
      <c r="E326" s="93">
        <v>26670.041746095845</v>
      </c>
      <c r="F326" s="74" t="s">
        <v>91</v>
      </c>
      <c r="G326" s="68">
        <v>79922.41</v>
      </c>
      <c r="H326" s="72" t="s">
        <v>92</v>
      </c>
      <c r="I326" s="88" t="s">
        <v>659</v>
      </c>
      <c r="J326" s="132">
        <v>26670.041746095845</v>
      </c>
      <c r="K326" s="132">
        <v>79922.41</v>
      </c>
      <c r="L326" s="133">
        <v>2.9967110948260749</v>
      </c>
      <c r="M326" s="132">
        <v>20881</v>
      </c>
      <c r="N326" s="134">
        <v>0.78293840702580497</v>
      </c>
      <c r="O326" s="132">
        <v>5789.0417460958452</v>
      </c>
      <c r="P326" s="133">
        <v>0.217061592974195</v>
      </c>
    </row>
    <row r="327" spans="1:16" ht="20.25" customHeight="1">
      <c r="A327" s="63">
        <v>323</v>
      </c>
      <c r="B327" s="63">
        <v>9</v>
      </c>
      <c r="C327" s="64" t="s">
        <v>53</v>
      </c>
      <c r="D327" s="131" t="s">
        <v>660</v>
      </c>
      <c r="E327" s="93">
        <v>4018.5838334552263</v>
      </c>
      <c r="F327" s="67" t="s">
        <v>661</v>
      </c>
      <c r="G327" s="68" t="s">
        <v>394</v>
      </c>
      <c r="H327" s="72"/>
      <c r="I327" s="88" t="s">
        <v>394</v>
      </c>
      <c r="J327" s="132">
        <v>4018.5838334552263</v>
      </c>
      <c r="K327" s="132" t="s">
        <v>394</v>
      </c>
      <c r="L327" s="133">
        <v>0</v>
      </c>
      <c r="M327" s="132"/>
      <c r="N327" s="134">
        <v>0</v>
      </c>
      <c r="O327" s="132">
        <v>4018.5838334552263</v>
      </c>
      <c r="P327" s="133">
        <v>1</v>
      </c>
    </row>
    <row r="328" spans="1:16" ht="20.25" customHeight="1">
      <c r="A328" s="63">
        <v>324</v>
      </c>
      <c r="B328" s="63">
        <v>10</v>
      </c>
      <c r="C328" s="64" t="s">
        <v>53</v>
      </c>
      <c r="D328" s="131" t="s">
        <v>662</v>
      </c>
      <c r="E328" s="93">
        <v>12459.755822079105</v>
      </c>
      <c r="F328" s="74" t="s">
        <v>104</v>
      </c>
      <c r="G328" s="68">
        <v>12512</v>
      </c>
      <c r="H328" s="72" t="s">
        <v>116</v>
      </c>
      <c r="I328" s="88" t="s">
        <v>663</v>
      </c>
      <c r="J328" s="132">
        <v>12459.755822079105</v>
      </c>
      <c r="K328" s="132">
        <v>12512</v>
      </c>
      <c r="L328" s="133">
        <v>1.0041930338496936</v>
      </c>
      <c r="M328" s="132"/>
      <c r="N328" s="134">
        <v>0</v>
      </c>
      <c r="O328" s="132">
        <v>12459.755822079105</v>
      </c>
      <c r="P328" s="133">
        <v>1</v>
      </c>
    </row>
    <row r="329" spans="1:16" ht="20.25" customHeight="1">
      <c r="A329" s="63">
        <v>325</v>
      </c>
      <c r="B329" s="63">
        <v>11</v>
      </c>
      <c r="C329" s="64" t="s">
        <v>53</v>
      </c>
      <c r="D329" s="131" t="s">
        <v>664</v>
      </c>
      <c r="E329" s="93">
        <v>43514.29236591985</v>
      </c>
      <c r="F329" s="67" t="s">
        <v>91</v>
      </c>
      <c r="G329" s="68">
        <v>43948.119999999995</v>
      </c>
      <c r="H329" s="72" t="s">
        <v>92</v>
      </c>
      <c r="I329" s="88" t="s">
        <v>665</v>
      </c>
      <c r="J329" s="132">
        <v>43514.29236591985</v>
      </c>
      <c r="K329" s="132">
        <v>43948.119999999995</v>
      </c>
      <c r="L329" s="133">
        <v>1.0099697733892121</v>
      </c>
      <c r="M329" s="132">
        <v>35726.68472172293</v>
      </c>
      <c r="N329" s="134">
        <v>0.82103333822576119</v>
      </c>
      <c r="O329" s="132">
        <v>7787.6076441969199</v>
      </c>
      <c r="P329" s="133">
        <v>0.17896666177423881</v>
      </c>
    </row>
    <row r="330" spans="1:16" ht="20.25" customHeight="1">
      <c r="A330" s="63">
        <v>326</v>
      </c>
      <c r="B330" s="63">
        <v>12</v>
      </c>
      <c r="C330" s="64" t="s">
        <v>53</v>
      </c>
      <c r="D330" s="131" t="s">
        <v>666</v>
      </c>
      <c r="E330" s="93">
        <v>24532.634789767282</v>
      </c>
      <c r="F330" s="74" t="s">
        <v>91</v>
      </c>
      <c r="G330" s="68">
        <v>31488.46</v>
      </c>
      <c r="H330" s="72" t="s">
        <v>97</v>
      </c>
      <c r="I330" s="88" t="s">
        <v>667</v>
      </c>
      <c r="J330" s="132">
        <v>24532.634789767282</v>
      </c>
      <c r="K330" s="132">
        <v>31488.46</v>
      </c>
      <c r="L330" s="133">
        <v>1.2835335572326718</v>
      </c>
      <c r="M330" s="132">
        <v>11130</v>
      </c>
      <c r="N330" s="134">
        <v>0.45368139604158597</v>
      </c>
      <c r="O330" s="132">
        <v>13402.634789767282</v>
      </c>
      <c r="P330" s="133">
        <v>0.54631860395841403</v>
      </c>
    </row>
    <row r="331" spans="1:16" ht="20.25" customHeight="1">
      <c r="A331" s="63">
        <v>327</v>
      </c>
      <c r="B331" s="63">
        <v>13</v>
      </c>
      <c r="C331" s="64" t="s">
        <v>53</v>
      </c>
      <c r="D331" s="131" t="s">
        <v>668</v>
      </c>
      <c r="E331" s="93">
        <v>8891.3827894294482</v>
      </c>
      <c r="F331" s="67" t="s">
        <v>104</v>
      </c>
      <c r="G331" s="68">
        <v>7500</v>
      </c>
      <c r="H331" s="72" t="s">
        <v>116</v>
      </c>
      <c r="I331" s="88" t="s">
        <v>669</v>
      </c>
      <c r="J331" s="132">
        <v>8891.3827894294482</v>
      </c>
      <c r="K331" s="132">
        <v>7500</v>
      </c>
      <c r="L331" s="133">
        <v>0.84351334068266659</v>
      </c>
      <c r="M331" s="132"/>
      <c r="N331" s="134">
        <v>0</v>
      </c>
      <c r="O331" s="132">
        <v>8891.3827894294482</v>
      </c>
      <c r="P331" s="133">
        <v>1</v>
      </c>
    </row>
    <row r="332" spans="1:16" ht="20.25" customHeight="1">
      <c r="A332" s="63">
        <v>328</v>
      </c>
      <c r="B332" s="63">
        <v>14</v>
      </c>
      <c r="C332" s="64" t="s">
        <v>53</v>
      </c>
      <c r="D332" s="131" t="s">
        <v>670</v>
      </c>
      <c r="E332" s="93">
        <v>16986.450864875293</v>
      </c>
      <c r="F332" s="74" t="s">
        <v>123</v>
      </c>
      <c r="G332" s="68"/>
      <c r="H332" s="72" t="s">
        <v>116</v>
      </c>
      <c r="I332" s="88" t="s">
        <v>671</v>
      </c>
      <c r="J332" s="132">
        <v>16986.450864875293</v>
      </c>
      <c r="K332" s="132"/>
      <c r="L332" s="133">
        <v>0</v>
      </c>
      <c r="M332" s="132"/>
      <c r="N332" s="134">
        <v>0</v>
      </c>
      <c r="O332" s="132">
        <v>16986.450864875293</v>
      </c>
      <c r="P332" s="133">
        <v>1</v>
      </c>
    </row>
    <row r="333" spans="1:16" ht="20.25" customHeight="1">
      <c r="A333" s="63">
        <v>329</v>
      </c>
      <c r="B333" s="63">
        <v>1</v>
      </c>
      <c r="C333" s="62" t="s">
        <v>55</v>
      </c>
      <c r="D333" s="131" t="s">
        <v>672</v>
      </c>
      <c r="E333" s="66">
        <v>7926.9182374032198</v>
      </c>
      <c r="F333" s="67" t="s">
        <v>91</v>
      </c>
      <c r="G333" s="68">
        <v>6585.7</v>
      </c>
      <c r="H333" s="72" t="s">
        <v>97</v>
      </c>
      <c r="I333" s="88" t="s">
        <v>673</v>
      </c>
      <c r="J333" s="132">
        <v>7926.9182374032198</v>
      </c>
      <c r="K333" s="132">
        <v>6585.7</v>
      </c>
      <c r="L333" s="133">
        <v>0.83080205986297773</v>
      </c>
      <c r="M333" s="132">
        <v>6134</v>
      </c>
      <c r="N333" s="134">
        <v>0.77381900712141538</v>
      </c>
      <c r="O333" s="132">
        <v>1792.9182374032198</v>
      </c>
      <c r="P333" s="133">
        <v>0.22618099287858456</v>
      </c>
    </row>
    <row r="334" spans="1:16" ht="20.25" customHeight="1">
      <c r="A334" s="63">
        <v>330</v>
      </c>
      <c r="B334" s="63">
        <v>2</v>
      </c>
      <c r="C334" s="62" t="s">
        <v>55</v>
      </c>
      <c r="D334" s="131" t="s">
        <v>674</v>
      </c>
      <c r="E334" s="66">
        <v>50785.070924901214</v>
      </c>
      <c r="F334" s="74" t="s">
        <v>91</v>
      </c>
      <c r="G334" s="68">
        <v>42006</v>
      </c>
      <c r="H334" s="72" t="s">
        <v>116</v>
      </c>
      <c r="I334" s="88" t="s">
        <v>218</v>
      </c>
      <c r="J334" s="132">
        <v>50785.070924901214</v>
      </c>
      <c r="K334" s="132">
        <v>42006</v>
      </c>
      <c r="L334" s="133">
        <v>0.82713284110829877</v>
      </c>
      <c r="M334" s="132">
        <v>31409</v>
      </c>
      <c r="N334" s="134">
        <v>0.6184691569387839</v>
      </c>
      <c r="O334" s="132">
        <v>19376.070924901214</v>
      </c>
      <c r="P334" s="133">
        <v>0.3815308430612161</v>
      </c>
    </row>
    <row r="335" spans="1:16" ht="20.25" customHeight="1">
      <c r="A335" s="63">
        <v>331</v>
      </c>
      <c r="B335" s="63">
        <v>3</v>
      </c>
      <c r="C335" s="62" t="s">
        <v>55</v>
      </c>
      <c r="D335" s="131" t="s">
        <v>675</v>
      </c>
      <c r="E335" s="66">
        <v>71691.429072744009</v>
      </c>
      <c r="F335" s="67" t="s">
        <v>91</v>
      </c>
      <c r="G335" s="68">
        <v>114255.47</v>
      </c>
      <c r="H335" s="72" t="s">
        <v>97</v>
      </c>
      <c r="I335" s="88" t="s">
        <v>676</v>
      </c>
      <c r="J335" s="132">
        <v>71691.429072744009</v>
      </c>
      <c r="K335" s="132">
        <v>114255.47</v>
      </c>
      <c r="L335" s="133">
        <v>1.5937117097228879</v>
      </c>
      <c r="M335" s="132">
        <v>58270</v>
      </c>
      <c r="N335" s="134">
        <v>0.81278893102932115</v>
      </c>
      <c r="O335" s="132">
        <v>13421.429072744009</v>
      </c>
      <c r="P335" s="133">
        <v>0.18721106897067885</v>
      </c>
    </row>
    <row r="336" spans="1:16" ht="20.25" customHeight="1">
      <c r="A336" s="63">
        <v>332</v>
      </c>
      <c r="B336" s="63">
        <v>4</v>
      </c>
      <c r="C336" s="62" t="s">
        <v>55</v>
      </c>
      <c r="D336" s="131" t="s">
        <v>677</v>
      </c>
      <c r="E336" s="66">
        <v>27976.061664474415</v>
      </c>
      <c r="F336" s="74" t="s">
        <v>91</v>
      </c>
      <c r="G336" s="68">
        <v>22294.84</v>
      </c>
      <c r="H336" s="72" t="s">
        <v>97</v>
      </c>
      <c r="I336" s="88" t="s">
        <v>678</v>
      </c>
      <c r="J336" s="132">
        <v>27976.061664474415</v>
      </c>
      <c r="K336" s="132">
        <v>22294.84</v>
      </c>
      <c r="L336" s="133">
        <v>0.7969256097369577</v>
      </c>
      <c r="M336" s="132">
        <v>20023</v>
      </c>
      <c r="N336" s="134">
        <v>0.7157190400901331</v>
      </c>
      <c r="O336" s="132">
        <v>7953.061664474415</v>
      </c>
      <c r="P336" s="133">
        <v>0.2842809599098669</v>
      </c>
    </row>
    <row r="337" spans="1:16" ht="20.25" customHeight="1">
      <c r="A337" s="63">
        <v>333</v>
      </c>
      <c r="B337" s="63">
        <v>5</v>
      </c>
      <c r="C337" s="62" t="s">
        <v>55</v>
      </c>
      <c r="D337" s="131" t="s">
        <v>679</v>
      </c>
      <c r="E337" s="66">
        <v>26368.409121432433</v>
      </c>
      <c r="F337" s="67" t="s">
        <v>104</v>
      </c>
      <c r="G337" s="68">
        <v>43600</v>
      </c>
      <c r="H337" s="72" t="s">
        <v>116</v>
      </c>
      <c r="I337" s="88" t="s">
        <v>680</v>
      </c>
      <c r="J337" s="132">
        <v>26368.409121432433</v>
      </c>
      <c r="K337" s="132">
        <v>43600</v>
      </c>
      <c r="L337" s="133">
        <v>1.653493762145916</v>
      </c>
      <c r="M337" s="132"/>
      <c r="N337" s="134">
        <v>0</v>
      </c>
      <c r="O337" s="132">
        <v>26368.409121432433</v>
      </c>
      <c r="P337" s="133">
        <v>1</v>
      </c>
    </row>
    <row r="338" spans="1:16" ht="20.25" customHeight="1">
      <c r="A338" s="63">
        <v>334</v>
      </c>
      <c r="B338" s="63">
        <v>6</v>
      </c>
      <c r="C338" s="62" t="s">
        <v>55</v>
      </c>
      <c r="D338" s="131" t="s">
        <v>681</v>
      </c>
      <c r="E338" s="66">
        <v>22353.349017710734</v>
      </c>
      <c r="F338" s="74" t="s">
        <v>104</v>
      </c>
      <c r="G338" s="68">
        <v>23359</v>
      </c>
      <c r="H338" s="72" t="s">
        <v>116</v>
      </c>
      <c r="I338" s="88" t="s">
        <v>682</v>
      </c>
      <c r="J338" s="132">
        <v>22353.349017710734</v>
      </c>
      <c r="K338" s="132">
        <v>23359</v>
      </c>
      <c r="L338" s="133">
        <v>1.0449888283626978</v>
      </c>
      <c r="M338" s="132"/>
      <c r="N338" s="134">
        <v>0</v>
      </c>
      <c r="O338" s="132">
        <v>22353.349017710734</v>
      </c>
      <c r="P338" s="133">
        <v>1</v>
      </c>
    </row>
    <row r="339" spans="1:16" ht="20.25" customHeight="1">
      <c r="A339" s="63">
        <v>335</v>
      </c>
      <c r="B339" s="63">
        <v>7</v>
      </c>
      <c r="C339" s="62" t="s">
        <v>55</v>
      </c>
      <c r="D339" s="131" t="s">
        <v>683</v>
      </c>
      <c r="E339" s="66">
        <v>1702.428174804031</v>
      </c>
      <c r="F339" s="67" t="s">
        <v>104</v>
      </c>
      <c r="G339" s="68">
        <v>1000</v>
      </c>
      <c r="H339" s="72" t="s">
        <v>97</v>
      </c>
      <c r="I339" s="88" t="s">
        <v>684</v>
      </c>
      <c r="J339" s="132">
        <v>1702.428174804031</v>
      </c>
      <c r="K339" s="132">
        <v>1000</v>
      </c>
      <c r="L339" s="133">
        <v>0.58739629359994083</v>
      </c>
      <c r="M339" s="132"/>
      <c r="N339" s="134">
        <v>0</v>
      </c>
      <c r="O339" s="132">
        <v>1702.428174804031</v>
      </c>
      <c r="P339" s="133">
        <v>1</v>
      </c>
    </row>
    <row r="340" spans="1:16" ht="20.25" customHeight="1">
      <c r="A340" s="63">
        <v>336</v>
      </c>
      <c r="B340" s="63">
        <v>8</v>
      </c>
      <c r="C340" s="62" t="s">
        <v>55</v>
      </c>
      <c r="D340" s="131" t="s">
        <v>685</v>
      </c>
      <c r="E340" s="66">
        <v>2653.2810994298029</v>
      </c>
      <c r="F340" s="74" t="s">
        <v>104</v>
      </c>
      <c r="G340" s="68">
        <v>5</v>
      </c>
      <c r="H340" s="72" t="s">
        <v>116</v>
      </c>
      <c r="I340" s="88" t="s">
        <v>234</v>
      </c>
      <c r="J340" s="132">
        <v>2653.2810994298029</v>
      </c>
      <c r="K340" s="132">
        <v>5</v>
      </c>
      <c r="L340" s="133">
        <v>1.8844592082891305E-3</v>
      </c>
      <c r="M340" s="132"/>
      <c r="N340" s="134">
        <v>0</v>
      </c>
      <c r="O340" s="132">
        <v>2653.2810994298029</v>
      </c>
      <c r="P340" s="133">
        <v>1</v>
      </c>
    </row>
    <row r="341" spans="1:16" ht="20.25" customHeight="1">
      <c r="A341" s="63">
        <v>337</v>
      </c>
      <c r="B341" s="63">
        <v>9</v>
      </c>
      <c r="C341" s="62" t="s">
        <v>55</v>
      </c>
      <c r="D341" s="131" t="s">
        <v>686</v>
      </c>
      <c r="E341" s="66">
        <v>5744.5182117693466</v>
      </c>
      <c r="F341" s="67" t="s">
        <v>104</v>
      </c>
      <c r="G341" s="68">
        <v>19513</v>
      </c>
      <c r="H341" s="72" t="s">
        <v>116</v>
      </c>
      <c r="I341" s="88" t="s">
        <v>323</v>
      </c>
      <c r="J341" s="132">
        <v>5744.5182117693466</v>
      </c>
      <c r="K341" s="132">
        <v>19513</v>
      </c>
      <c r="L341" s="133">
        <v>3.3968035752801411</v>
      </c>
      <c r="M341" s="132"/>
      <c r="N341" s="134">
        <v>0</v>
      </c>
      <c r="O341" s="132">
        <v>5744.5182117693466</v>
      </c>
      <c r="P341" s="133">
        <v>1</v>
      </c>
    </row>
    <row r="342" spans="1:16" ht="20.25" customHeight="1">
      <c r="A342" s="63">
        <v>338</v>
      </c>
      <c r="B342" s="63">
        <v>10</v>
      </c>
      <c r="C342" s="62" t="s">
        <v>55</v>
      </c>
      <c r="D342" s="131" t="s">
        <v>687</v>
      </c>
      <c r="E342" s="66">
        <v>9496.6372399532211</v>
      </c>
      <c r="F342" s="74" t="s">
        <v>91</v>
      </c>
      <c r="G342" s="68">
        <v>6653.03</v>
      </c>
      <c r="H342" s="72" t="s">
        <v>97</v>
      </c>
      <c r="I342" s="88" t="s">
        <v>688</v>
      </c>
      <c r="J342" s="132">
        <v>9496.6372399532211</v>
      </c>
      <c r="K342" s="132">
        <v>6653.03</v>
      </c>
      <c r="L342" s="133">
        <v>0.70056693036668749</v>
      </c>
      <c r="M342" s="132">
        <v>6299</v>
      </c>
      <c r="N342" s="134">
        <v>0.66328741857165308</v>
      </c>
      <c r="O342" s="132">
        <v>3197.6372399532211</v>
      </c>
      <c r="P342" s="133">
        <v>0.33671258142834698</v>
      </c>
    </row>
    <row r="343" spans="1:16" ht="20.25" customHeight="1">
      <c r="A343" s="63">
        <v>339</v>
      </c>
      <c r="B343" s="63">
        <v>11</v>
      </c>
      <c r="C343" s="62" t="s">
        <v>55</v>
      </c>
      <c r="D343" s="131" t="s">
        <v>689</v>
      </c>
      <c r="E343" s="66">
        <v>8928.3094543521038</v>
      </c>
      <c r="F343" s="67" t="s">
        <v>104</v>
      </c>
      <c r="G343" s="68">
        <v>14931</v>
      </c>
      <c r="H343" s="72" t="s">
        <v>126</v>
      </c>
      <c r="I343" s="88" t="s">
        <v>187</v>
      </c>
      <c r="J343" s="132">
        <v>8928.3094543521038</v>
      </c>
      <c r="K343" s="132">
        <v>14931</v>
      </c>
      <c r="L343" s="133">
        <v>1.672321067760693</v>
      </c>
      <c r="M343" s="132"/>
      <c r="N343" s="134">
        <v>0</v>
      </c>
      <c r="O343" s="132">
        <v>8928.3094543521038</v>
      </c>
      <c r="P343" s="133">
        <v>1</v>
      </c>
    </row>
    <row r="344" spans="1:16" ht="20.25" customHeight="1">
      <c r="A344" s="63">
        <v>340</v>
      </c>
      <c r="B344" s="63">
        <v>12</v>
      </c>
      <c r="C344" s="62" t="s">
        <v>55</v>
      </c>
      <c r="D344" s="131" t="s">
        <v>690</v>
      </c>
      <c r="E344" s="66">
        <v>24295.990933070618</v>
      </c>
      <c r="F344" s="74" t="s">
        <v>91</v>
      </c>
      <c r="G344" s="68">
        <v>25579</v>
      </c>
      <c r="H344" s="72" t="s">
        <v>116</v>
      </c>
      <c r="I344" s="88" t="s">
        <v>281</v>
      </c>
      <c r="J344" s="132">
        <v>24295.990933070618</v>
      </c>
      <c r="K344" s="132">
        <v>25579</v>
      </c>
      <c r="L344" s="133">
        <v>1.0528074393204934</v>
      </c>
      <c r="M344" s="132">
        <v>18358.7355946877</v>
      </c>
      <c r="N344" s="134">
        <v>0.75562818759940387</v>
      </c>
      <c r="O344" s="132">
        <v>5937.2553383829181</v>
      </c>
      <c r="P344" s="133">
        <v>0.24437181240059616</v>
      </c>
    </row>
    <row r="345" spans="1:16" ht="20.25" customHeight="1">
      <c r="A345" s="63">
        <v>341</v>
      </c>
      <c r="B345" s="63">
        <v>13</v>
      </c>
      <c r="C345" s="62" t="s">
        <v>55</v>
      </c>
      <c r="D345" s="131" t="s">
        <v>691</v>
      </c>
      <c r="E345" s="66">
        <v>31222.800573772765</v>
      </c>
      <c r="F345" s="67" t="s">
        <v>91</v>
      </c>
      <c r="G345" s="68">
        <v>25428.240000000002</v>
      </c>
      <c r="H345" s="72" t="s">
        <v>97</v>
      </c>
      <c r="I345" s="88" t="s">
        <v>692</v>
      </c>
      <c r="J345" s="132">
        <v>31222.800573772765</v>
      </c>
      <c r="K345" s="132">
        <v>25428.240000000002</v>
      </c>
      <c r="L345" s="133">
        <v>0.81441252971265465</v>
      </c>
      <c r="M345" s="132">
        <v>24560</v>
      </c>
      <c r="N345" s="134">
        <v>0.78660464624145421</v>
      </c>
      <c r="O345" s="132">
        <v>6662.8005737727653</v>
      </c>
      <c r="P345" s="133">
        <v>0.21339535375854579</v>
      </c>
    </row>
    <row r="346" spans="1:16" ht="20.25" customHeight="1">
      <c r="A346" s="63">
        <v>342</v>
      </c>
      <c r="B346" s="63">
        <v>1</v>
      </c>
      <c r="C346" s="64" t="s">
        <v>54</v>
      </c>
      <c r="D346" s="131" t="s">
        <v>693</v>
      </c>
      <c r="E346" s="84">
        <v>7794.2865808568158</v>
      </c>
      <c r="F346" s="74" t="s">
        <v>104</v>
      </c>
      <c r="G346" s="68">
        <v>5872</v>
      </c>
      <c r="H346" s="72" t="s">
        <v>97</v>
      </c>
      <c r="I346" s="88" t="s">
        <v>694</v>
      </c>
      <c r="J346" s="132">
        <v>7794.2865808568158</v>
      </c>
      <c r="K346" s="132">
        <v>5872</v>
      </c>
      <c r="L346" s="133">
        <v>0.75337235025742388</v>
      </c>
      <c r="M346" s="132"/>
      <c r="N346" s="134">
        <v>0</v>
      </c>
      <c r="O346" s="132">
        <v>7794.2865808568158</v>
      </c>
      <c r="P346" s="133">
        <v>1</v>
      </c>
    </row>
    <row r="347" spans="1:16" ht="20.25" customHeight="1">
      <c r="A347" s="63">
        <v>343</v>
      </c>
      <c r="B347" s="63">
        <v>2</v>
      </c>
      <c r="C347" s="64" t="s">
        <v>54</v>
      </c>
      <c r="D347" s="131" t="s">
        <v>695</v>
      </c>
      <c r="E347" s="84">
        <v>5395.9196574516573</v>
      </c>
      <c r="F347" s="67" t="s">
        <v>104</v>
      </c>
      <c r="G347" s="68">
        <v>2383.71</v>
      </c>
      <c r="H347" s="72" t="s">
        <v>116</v>
      </c>
      <c r="I347" s="88" t="s">
        <v>185</v>
      </c>
      <c r="J347" s="132">
        <v>5395.9196574516573</v>
      </c>
      <c r="K347" s="132">
        <v>2383.71</v>
      </c>
      <c r="L347" s="133">
        <v>0.44176158121779002</v>
      </c>
      <c r="M347" s="132"/>
      <c r="N347" s="134">
        <v>0</v>
      </c>
      <c r="O347" s="132">
        <v>5395.9196574516573</v>
      </c>
      <c r="P347" s="133">
        <v>1</v>
      </c>
    </row>
    <row r="348" spans="1:16" ht="20.25" customHeight="1">
      <c r="A348" s="63">
        <v>344</v>
      </c>
      <c r="B348" s="63">
        <v>3</v>
      </c>
      <c r="C348" s="64" t="s">
        <v>54</v>
      </c>
      <c r="D348" s="131" t="s">
        <v>696</v>
      </c>
      <c r="E348" s="84">
        <v>1534.529038387632</v>
      </c>
      <c r="F348" s="74" t="s">
        <v>91</v>
      </c>
      <c r="G348" s="68">
        <v>51888.62</v>
      </c>
      <c r="H348" s="72" t="s">
        <v>116</v>
      </c>
      <c r="I348" s="88" t="s">
        <v>216</v>
      </c>
      <c r="J348" s="132">
        <v>1534.529038387632</v>
      </c>
      <c r="K348" s="132">
        <v>51888.62</v>
      </c>
      <c r="L348" s="133">
        <v>33.814035904149897</v>
      </c>
      <c r="M348" s="132">
        <v>1019</v>
      </c>
      <c r="N348" s="134">
        <v>0.66404738816196585</v>
      </c>
      <c r="O348" s="132">
        <v>515.529038387632</v>
      </c>
      <c r="P348" s="133">
        <v>0.33595261183803421</v>
      </c>
    </row>
    <row r="349" spans="1:16" ht="20.25" customHeight="1">
      <c r="A349" s="63">
        <v>345</v>
      </c>
      <c r="B349" s="63">
        <v>4</v>
      </c>
      <c r="C349" s="64" t="s">
        <v>54</v>
      </c>
      <c r="D349" s="131" t="s">
        <v>697</v>
      </c>
      <c r="E349" s="84">
        <v>475.24277047469099</v>
      </c>
      <c r="F349" s="67" t="s">
        <v>104</v>
      </c>
      <c r="G349" s="68">
        <v>10587.62</v>
      </c>
      <c r="H349" s="72" t="s">
        <v>116</v>
      </c>
      <c r="I349" s="88" t="s">
        <v>444</v>
      </c>
      <c r="J349" s="132">
        <v>475.24277047469099</v>
      </c>
      <c r="K349" s="132">
        <v>10587.62</v>
      </c>
      <c r="L349" s="133">
        <v>22.278339951230976</v>
      </c>
      <c r="M349" s="132"/>
      <c r="N349" s="134">
        <v>0</v>
      </c>
      <c r="O349" s="132">
        <v>475.24277047469099</v>
      </c>
      <c r="P349" s="133">
        <v>1</v>
      </c>
    </row>
    <row r="350" spans="1:16" ht="20.25" customHeight="1">
      <c r="A350" s="63">
        <v>346</v>
      </c>
      <c r="B350" s="63">
        <v>5</v>
      </c>
      <c r="C350" s="64" t="s">
        <v>54</v>
      </c>
      <c r="D350" s="131" t="s">
        <v>698</v>
      </c>
      <c r="E350" s="84">
        <v>65685.665644323817</v>
      </c>
      <c r="F350" s="74" t="s">
        <v>91</v>
      </c>
      <c r="G350" s="68">
        <v>185136.22</v>
      </c>
      <c r="H350" s="72" t="s">
        <v>97</v>
      </c>
      <c r="I350" s="88" t="s">
        <v>699</v>
      </c>
      <c r="J350" s="132">
        <v>65685.665644323817</v>
      </c>
      <c r="K350" s="132">
        <v>185136.22</v>
      </c>
      <c r="L350" s="133">
        <v>2.8185178331369842</v>
      </c>
      <c r="M350" s="132">
        <v>44202.716892535784</v>
      </c>
      <c r="N350" s="134">
        <v>0.67294312174418125</v>
      </c>
      <c r="O350" s="132">
        <v>21482.948751788033</v>
      </c>
      <c r="P350" s="133">
        <v>0.32705687825581881</v>
      </c>
    </row>
    <row r="351" spans="1:16" ht="20.25" customHeight="1">
      <c r="A351" s="63">
        <v>347</v>
      </c>
      <c r="B351" s="63">
        <v>6</v>
      </c>
      <c r="C351" s="64" t="s">
        <v>54</v>
      </c>
      <c r="D351" s="131" t="s">
        <v>700</v>
      </c>
      <c r="E351" s="84">
        <v>11026.199057929647</v>
      </c>
      <c r="F351" s="67" t="s">
        <v>91</v>
      </c>
      <c r="G351" s="68">
        <v>16306.14</v>
      </c>
      <c r="H351" s="72" t="s">
        <v>97</v>
      </c>
      <c r="I351" s="88" t="s">
        <v>701</v>
      </c>
      <c r="J351" s="132">
        <v>11026.199057929647</v>
      </c>
      <c r="K351" s="132">
        <v>16306.14</v>
      </c>
      <c r="L351" s="133">
        <v>1.4788541286376657</v>
      </c>
      <c r="M351" s="132">
        <v>7560.4518013891029</v>
      </c>
      <c r="N351" s="134">
        <v>0.68568069211047822</v>
      </c>
      <c r="O351" s="132">
        <v>3465.7472565405442</v>
      </c>
      <c r="P351" s="133">
        <v>0.31431930788952184</v>
      </c>
    </row>
    <row r="352" spans="1:16" ht="20.25" customHeight="1">
      <c r="A352" s="63">
        <v>348</v>
      </c>
      <c r="B352" s="63">
        <v>7</v>
      </c>
      <c r="C352" s="64" t="s">
        <v>54</v>
      </c>
      <c r="D352" s="131" t="s">
        <v>702</v>
      </c>
      <c r="E352" s="84">
        <v>99.190513512111011</v>
      </c>
      <c r="F352" s="74" t="s">
        <v>104</v>
      </c>
      <c r="G352" s="68">
        <v>149.72999999999999</v>
      </c>
      <c r="H352" s="72" t="s">
        <v>116</v>
      </c>
      <c r="I352" s="88" t="s">
        <v>703</v>
      </c>
      <c r="J352" s="132">
        <v>99.190513512111011</v>
      </c>
      <c r="K352" s="132">
        <v>149.72999999999999</v>
      </c>
      <c r="L352" s="133">
        <v>1.5095193552125141</v>
      </c>
      <c r="M352" s="132"/>
      <c r="N352" s="134">
        <v>0</v>
      </c>
      <c r="O352" s="132">
        <v>99.190513512111011</v>
      </c>
      <c r="P352" s="133">
        <v>1</v>
      </c>
    </row>
    <row r="353" spans="1:16" ht="20.25" customHeight="1">
      <c r="A353" s="63">
        <v>349</v>
      </c>
      <c r="B353" s="63">
        <v>8</v>
      </c>
      <c r="C353" s="64" t="s">
        <v>54</v>
      </c>
      <c r="D353" s="131" t="s">
        <v>704</v>
      </c>
      <c r="E353" s="84">
        <v>2934.3118772872799</v>
      </c>
      <c r="F353" s="67" t="s">
        <v>123</v>
      </c>
      <c r="G353" s="68"/>
      <c r="H353" s="72" t="s">
        <v>116</v>
      </c>
      <c r="I353" s="88" t="s">
        <v>705</v>
      </c>
      <c r="J353" s="132">
        <v>2934.3118772872799</v>
      </c>
      <c r="K353" s="132"/>
      <c r="L353" s="133">
        <v>0</v>
      </c>
      <c r="M353" s="132"/>
      <c r="N353" s="134">
        <v>0</v>
      </c>
      <c r="O353" s="132">
        <v>2934.3118772872799</v>
      </c>
      <c r="P353" s="133">
        <v>1</v>
      </c>
    </row>
    <row r="354" spans="1:16" ht="20.25" customHeight="1">
      <c r="A354" s="63">
        <v>350</v>
      </c>
      <c r="B354" s="63">
        <v>9</v>
      </c>
      <c r="C354" s="64" t="s">
        <v>54</v>
      </c>
      <c r="D354" s="131" t="s">
        <v>706</v>
      </c>
      <c r="E354" s="84">
        <v>8783.22227737906</v>
      </c>
      <c r="F354" s="74" t="s">
        <v>123</v>
      </c>
      <c r="G354" s="68"/>
      <c r="H354" s="72" t="s">
        <v>116</v>
      </c>
      <c r="I354" s="88" t="s">
        <v>973</v>
      </c>
      <c r="J354" s="132">
        <v>8783.22227737906</v>
      </c>
      <c r="K354" s="132"/>
      <c r="L354" s="133">
        <v>0</v>
      </c>
      <c r="M354" s="132"/>
      <c r="N354" s="134">
        <v>0</v>
      </c>
      <c r="O354" s="132">
        <v>8783.22227737906</v>
      </c>
      <c r="P354" s="133">
        <v>1</v>
      </c>
    </row>
    <row r="355" spans="1:16" ht="20.25" customHeight="1">
      <c r="A355" s="63">
        <v>351</v>
      </c>
      <c r="B355" s="63">
        <v>10</v>
      </c>
      <c r="C355" s="64" t="s">
        <v>54</v>
      </c>
      <c r="D355" s="131" t="s">
        <v>708</v>
      </c>
      <c r="E355" s="84">
        <v>261.31100317986034</v>
      </c>
      <c r="F355" s="67" t="s">
        <v>104</v>
      </c>
      <c r="G355" s="68">
        <v>75498.77</v>
      </c>
      <c r="H355" s="72" t="s">
        <v>116</v>
      </c>
      <c r="I355" s="88" t="s">
        <v>709</v>
      </c>
      <c r="J355" s="132">
        <v>261.31100317986034</v>
      </c>
      <c r="K355" s="132">
        <v>75498.77</v>
      </c>
      <c r="L355" s="133">
        <v>288.92304220360063</v>
      </c>
      <c r="M355" s="132"/>
      <c r="N355" s="134">
        <v>0</v>
      </c>
      <c r="O355" s="132">
        <v>261.31100317986034</v>
      </c>
      <c r="P355" s="133">
        <v>1</v>
      </c>
    </row>
    <row r="356" spans="1:16" ht="20.25" customHeight="1">
      <c r="A356" s="63">
        <v>352</v>
      </c>
      <c r="B356" s="63">
        <v>11</v>
      </c>
      <c r="C356" s="64" t="s">
        <v>54</v>
      </c>
      <c r="D356" s="131" t="s">
        <v>710</v>
      </c>
      <c r="E356" s="84">
        <v>89.405956534992541</v>
      </c>
      <c r="F356" s="74" t="s">
        <v>104</v>
      </c>
      <c r="G356" s="68">
        <v>4936</v>
      </c>
      <c r="H356" s="72" t="s">
        <v>116</v>
      </c>
      <c r="I356" s="88" t="s">
        <v>974</v>
      </c>
      <c r="J356" s="132">
        <v>89.405956534992541</v>
      </c>
      <c r="K356" s="132">
        <v>4936</v>
      </c>
      <c r="L356" s="133">
        <v>55.2088495140489</v>
      </c>
      <c r="M356" s="132"/>
      <c r="N356" s="134">
        <v>0</v>
      </c>
      <c r="O356" s="132">
        <v>89.405956534992541</v>
      </c>
      <c r="P356" s="133">
        <v>1</v>
      </c>
    </row>
    <row r="357" spans="1:16" ht="20.25" customHeight="1">
      <c r="A357" s="63">
        <v>353</v>
      </c>
      <c r="B357" s="63">
        <v>12</v>
      </c>
      <c r="C357" s="64" t="s">
        <v>54</v>
      </c>
      <c r="D357" s="131" t="s">
        <v>711</v>
      </c>
      <c r="E357" s="84">
        <v>27130.584500349822</v>
      </c>
      <c r="F357" s="67" t="s">
        <v>91</v>
      </c>
      <c r="G357" s="68">
        <v>151641.94</v>
      </c>
      <c r="H357" s="72" t="s">
        <v>126</v>
      </c>
      <c r="I357" s="88" t="s">
        <v>712</v>
      </c>
      <c r="J357" s="132">
        <v>27130.584500349822</v>
      </c>
      <c r="K357" s="132">
        <v>151641.94</v>
      </c>
      <c r="L357" s="133">
        <v>5.5893355337790354</v>
      </c>
      <c r="M357" s="132">
        <v>18160.450533002371</v>
      </c>
      <c r="N357" s="134">
        <v>0.66937188665316849</v>
      </c>
      <c r="O357" s="132">
        <v>8970.1339673474504</v>
      </c>
      <c r="P357" s="133">
        <v>0.33062811334683151</v>
      </c>
    </row>
    <row r="358" spans="1:16" ht="20.25" customHeight="1">
      <c r="A358" s="63">
        <v>354</v>
      </c>
      <c r="B358" s="63">
        <v>13</v>
      </c>
      <c r="C358" s="64" t="s">
        <v>54</v>
      </c>
      <c r="D358" s="131" t="s">
        <v>713</v>
      </c>
      <c r="E358" s="84">
        <v>3111.4288342259483</v>
      </c>
      <c r="F358" s="74" t="s">
        <v>104</v>
      </c>
      <c r="G358" s="68">
        <v>27568.639999999999</v>
      </c>
      <c r="H358" s="72" t="s">
        <v>126</v>
      </c>
      <c r="I358" s="88" t="s">
        <v>714</v>
      </c>
      <c r="J358" s="132">
        <v>3111.4288342259483</v>
      </c>
      <c r="K358" s="132">
        <v>27568.639999999999</v>
      </c>
      <c r="L358" s="133">
        <v>8.8604436960739417</v>
      </c>
      <c r="M358" s="132"/>
      <c r="N358" s="134">
        <v>0</v>
      </c>
      <c r="O358" s="132">
        <v>3111.4288342259483</v>
      </c>
      <c r="P358" s="133">
        <v>1</v>
      </c>
    </row>
    <row r="359" spans="1:16" ht="20.25" customHeight="1">
      <c r="A359" s="63">
        <v>355</v>
      </c>
      <c r="B359" s="63">
        <v>14</v>
      </c>
      <c r="C359" s="64" t="s">
        <v>54</v>
      </c>
      <c r="D359" s="131" t="s">
        <v>715</v>
      </c>
      <c r="E359" s="84">
        <v>2165.1906439764057</v>
      </c>
      <c r="F359" s="67" t="s">
        <v>104</v>
      </c>
      <c r="G359" s="68">
        <v>2384</v>
      </c>
      <c r="H359" s="72" t="s">
        <v>116</v>
      </c>
      <c r="I359" s="88" t="s">
        <v>527</v>
      </c>
      <c r="J359" s="132">
        <v>2165.1906439764057</v>
      </c>
      <c r="K359" s="132">
        <v>2384</v>
      </c>
      <c r="L359" s="133">
        <v>1.1010577782757029</v>
      </c>
      <c r="M359" s="132"/>
      <c r="N359" s="134">
        <v>0</v>
      </c>
      <c r="O359" s="132">
        <v>2165.1906439764057</v>
      </c>
      <c r="P359" s="133">
        <v>1</v>
      </c>
    </row>
    <row r="360" spans="1:16" ht="20.25" customHeight="1">
      <c r="A360" s="63">
        <v>356</v>
      </c>
      <c r="B360" s="63">
        <v>1</v>
      </c>
      <c r="C360" s="64" t="s">
        <v>56</v>
      </c>
      <c r="D360" s="131" t="s">
        <v>716</v>
      </c>
      <c r="E360" s="84">
        <v>1919.023171677256</v>
      </c>
      <c r="F360" s="74" t="s">
        <v>104</v>
      </c>
      <c r="G360" s="68">
        <v>10915.800000000001</v>
      </c>
      <c r="H360" s="72" t="s">
        <v>92</v>
      </c>
      <c r="I360" s="88" t="s">
        <v>717</v>
      </c>
      <c r="J360" s="132">
        <v>1919.023171677256</v>
      </c>
      <c r="K360" s="132">
        <v>10915.800000000001</v>
      </c>
      <c r="L360" s="133">
        <v>5.6882064589451637</v>
      </c>
      <c r="M360" s="132"/>
      <c r="N360" s="134">
        <v>0</v>
      </c>
      <c r="O360" s="132">
        <v>1919.023171677256</v>
      </c>
      <c r="P360" s="133">
        <v>1</v>
      </c>
    </row>
    <row r="361" spans="1:16" ht="20.25" customHeight="1">
      <c r="A361" s="63">
        <v>357</v>
      </c>
      <c r="B361" s="63">
        <v>2</v>
      </c>
      <c r="C361" s="64" t="s">
        <v>56</v>
      </c>
      <c r="D361" s="131" t="s">
        <v>718</v>
      </c>
      <c r="E361" s="84">
        <v>132.51645454821806</v>
      </c>
      <c r="F361" s="67" t="s">
        <v>104</v>
      </c>
      <c r="G361" s="68">
        <v>130</v>
      </c>
      <c r="H361" s="72" t="s">
        <v>116</v>
      </c>
      <c r="I361" s="88" t="s">
        <v>682</v>
      </c>
      <c r="J361" s="132">
        <v>132.51645454821806</v>
      </c>
      <c r="K361" s="132">
        <v>130</v>
      </c>
      <c r="L361" s="133">
        <v>0.98101024844954321</v>
      </c>
      <c r="M361" s="132"/>
      <c r="N361" s="134">
        <v>0</v>
      </c>
      <c r="O361" s="132">
        <v>132.51645454821806</v>
      </c>
      <c r="P361" s="133">
        <v>1</v>
      </c>
    </row>
    <row r="362" spans="1:16" ht="20.25" customHeight="1">
      <c r="A362" s="63">
        <v>358</v>
      </c>
      <c r="B362" s="63">
        <v>3</v>
      </c>
      <c r="C362" s="64" t="s">
        <v>56</v>
      </c>
      <c r="D362" s="131" t="s">
        <v>719</v>
      </c>
      <c r="E362" s="84">
        <v>65.215153281266396</v>
      </c>
      <c r="F362" s="74" t="s">
        <v>91</v>
      </c>
      <c r="G362" s="68">
        <v>12.69</v>
      </c>
      <c r="H362" s="72" t="s">
        <v>116</v>
      </c>
      <c r="I362" s="88" t="s">
        <v>454</v>
      </c>
      <c r="J362" s="132">
        <v>65.215153281266396</v>
      </c>
      <c r="K362" s="132">
        <v>12.69</v>
      </c>
      <c r="L362" s="133">
        <v>0.19458667750529246</v>
      </c>
      <c r="M362" s="132">
        <v>11</v>
      </c>
      <c r="N362" s="134">
        <v>0.16867245489032445</v>
      </c>
      <c r="O362" s="132">
        <v>54.215153281266396</v>
      </c>
      <c r="P362" s="133">
        <v>0.83132754510967555</v>
      </c>
    </row>
    <row r="363" spans="1:16" ht="20.25" customHeight="1">
      <c r="A363" s="63">
        <v>359</v>
      </c>
      <c r="B363" s="63">
        <v>4</v>
      </c>
      <c r="C363" s="64" t="s">
        <v>56</v>
      </c>
      <c r="D363" s="131" t="s">
        <v>720</v>
      </c>
      <c r="E363" s="84">
        <v>2059.5280860908742</v>
      </c>
      <c r="F363" s="67" t="s">
        <v>91</v>
      </c>
      <c r="G363" s="68">
        <v>1230.8800000000001</v>
      </c>
      <c r="H363" s="72" t="s">
        <v>126</v>
      </c>
      <c r="I363" s="88" t="s">
        <v>721</v>
      </c>
      <c r="J363" s="132">
        <v>2059.5280860908742</v>
      </c>
      <c r="K363" s="132">
        <v>1230.8800000000001</v>
      </c>
      <c r="L363" s="133">
        <v>0.59765147574961941</v>
      </c>
      <c r="M363" s="132">
        <v>823</v>
      </c>
      <c r="N363" s="134">
        <v>0.39960610664072588</v>
      </c>
      <c r="O363" s="132">
        <v>1236.5280860908742</v>
      </c>
      <c r="P363" s="133">
        <v>0.60039389335927407</v>
      </c>
    </row>
    <row r="364" spans="1:16" ht="20.25" customHeight="1">
      <c r="A364" s="63">
        <v>360</v>
      </c>
      <c r="B364" s="63">
        <v>5</v>
      </c>
      <c r="C364" s="64" t="s">
        <v>56</v>
      </c>
      <c r="D364" s="131" t="s">
        <v>722</v>
      </c>
      <c r="E364" s="84">
        <v>171.94104374288301</v>
      </c>
      <c r="F364" s="74" t="s">
        <v>104</v>
      </c>
      <c r="G364" s="68">
        <v>182687.96</v>
      </c>
      <c r="H364" s="72" t="s">
        <v>116</v>
      </c>
      <c r="I364" s="88" t="s">
        <v>723</v>
      </c>
      <c r="J364" s="132">
        <v>171.94104374288301</v>
      </c>
      <c r="K364" s="132">
        <v>182687.96</v>
      </c>
      <c r="L364" s="133">
        <v>1062.5034955190088</v>
      </c>
      <c r="M364" s="132"/>
      <c r="N364" s="134">
        <v>0</v>
      </c>
      <c r="O364" s="132">
        <v>171.94104374288301</v>
      </c>
      <c r="P364" s="133">
        <v>1</v>
      </c>
    </row>
    <row r="365" spans="1:16" ht="20.25" customHeight="1">
      <c r="A365" s="63">
        <v>361</v>
      </c>
      <c r="B365" s="63">
        <v>7</v>
      </c>
      <c r="C365" s="64" t="s">
        <v>56</v>
      </c>
      <c r="D365" s="131" t="s">
        <v>724</v>
      </c>
      <c r="E365" s="84">
        <v>18659.440782212707</v>
      </c>
      <c r="F365" s="67" t="s">
        <v>104</v>
      </c>
      <c r="G365" s="68">
        <v>12380</v>
      </c>
      <c r="H365" s="72" t="s">
        <v>116</v>
      </c>
      <c r="I365" s="88" t="s">
        <v>387</v>
      </c>
      <c r="J365" s="132">
        <v>18659.440782212707</v>
      </c>
      <c r="K365" s="132">
        <v>12380</v>
      </c>
      <c r="L365" s="133">
        <v>0.66347111601551079</v>
      </c>
      <c r="M365" s="132"/>
      <c r="N365" s="134">
        <v>0</v>
      </c>
      <c r="O365" s="132">
        <v>18659.440782212707</v>
      </c>
      <c r="P365" s="133">
        <v>1</v>
      </c>
    </row>
    <row r="366" spans="1:16" ht="20.25" customHeight="1">
      <c r="A366" s="63">
        <v>362</v>
      </c>
      <c r="B366" s="63">
        <v>6</v>
      </c>
      <c r="C366" s="64" t="s">
        <v>56</v>
      </c>
      <c r="D366" s="131" t="s">
        <v>725</v>
      </c>
      <c r="E366" s="84">
        <v>2638.8489298972586</v>
      </c>
      <c r="F366" s="74" t="s">
        <v>123</v>
      </c>
      <c r="G366" s="68" t="s">
        <v>394</v>
      </c>
      <c r="H366" s="72"/>
      <c r="I366" s="88" t="s">
        <v>394</v>
      </c>
      <c r="J366" s="132">
        <v>2638.8489298972586</v>
      </c>
      <c r="K366" s="132" t="s">
        <v>394</v>
      </c>
      <c r="L366" s="133">
        <v>0</v>
      </c>
      <c r="M366" s="132"/>
      <c r="N366" s="134">
        <v>0</v>
      </c>
      <c r="O366" s="132">
        <v>2638.8489298972586</v>
      </c>
      <c r="P366" s="133">
        <v>1</v>
      </c>
    </row>
    <row r="367" spans="1:16" ht="20.25" customHeight="1">
      <c r="A367" s="63">
        <v>363</v>
      </c>
      <c r="B367" s="63">
        <v>8</v>
      </c>
      <c r="C367" s="64" t="s">
        <v>56</v>
      </c>
      <c r="D367" s="131" t="s">
        <v>726</v>
      </c>
      <c r="E367" s="84">
        <v>24.355749734300002</v>
      </c>
      <c r="F367" s="67" t="s">
        <v>104</v>
      </c>
      <c r="G367" s="68">
        <v>79</v>
      </c>
      <c r="H367" s="72" t="s">
        <v>116</v>
      </c>
      <c r="I367" s="88" t="s">
        <v>149</v>
      </c>
      <c r="J367" s="132">
        <v>24.355749734300002</v>
      </c>
      <c r="K367" s="132">
        <v>79</v>
      </c>
      <c r="L367" s="133">
        <v>3.2435872786434881</v>
      </c>
      <c r="M367" s="132"/>
      <c r="N367" s="134">
        <v>0</v>
      </c>
      <c r="O367" s="132">
        <v>24.355749734300002</v>
      </c>
      <c r="P367" s="133">
        <v>1</v>
      </c>
    </row>
    <row r="368" spans="1:16" ht="20.25" customHeight="1">
      <c r="A368" s="63">
        <v>364</v>
      </c>
      <c r="B368" s="63">
        <v>9</v>
      </c>
      <c r="C368" s="64" t="s">
        <v>56</v>
      </c>
      <c r="D368" s="131" t="s">
        <v>727</v>
      </c>
      <c r="E368" s="84">
        <v>8360.8090472080257</v>
      </c>
      <c r="F368" s="74" t="s">
        <v>104</v>
      </c>
      <c r="G368" s="68">
        <v>9047</v>
      </c>
      <c r="H368" s="72" t="s">
        <v>126</v>
      </c>
      <c r="I368" s="88" t="s">
        <v>243</v>
      </c>
      <c r="J368" s="132">
        <v>8360.8090472080257</v>
      </c>
      <c r="K368" s="132">
        <v>9047</v>
      </c>
      <c r="L368" s="133">
        <v>1.0820723148821487</v>
      </c>
      <c r="M368" s="132"/>
      <c r="N368" s="134">
        <v>0</v>
      </c>
      <c r="O368" s="132">
        <v>8360.8090472080257</v>
      </c>
      <c r="P368" s="133">
        <v>1</v>
      </c>
    </row>
    <row r="369" spans="1:16" ht="20.25" customHeight="1">
      <c r="A369" s="63">
        <v>365</v>
      </c>
      <c r="B369" s="63">
        <v>10</v>
      </c>
      <c r="C369" s="64" t="s">
        <v>56</v>
      </c>
      <c r="D369" s="139" t="s">
        <v>728</v>
      </c>
      <c r="E369" s="84">
        <v>7374.0272862905713</v>
      </c>
      <c r="F369" s="67" t="s">
        <v>91</v>
      </c>
      <c r="G369" s="68">
        <v>12534</v>
      </c>
      <c r="H369" s="72" t="s">
        <v>116</v>
      </c>
      <c r="I369" s="88" t="s">
        <v>729</v>
      </c>
      <c r="J369" s="132">
        <v>7374.0272862905713</v>
      </c>
      <c r="K369" s="132">
        <v>12534</v>
      </c>
      <c r="L369" s="133">
        <v>1.6997496094573172</v>
      </c>
      <c r="M369" s="132">
        <v>4999</v>
      </c>
      <c r="N369" s="134">
        <v>0.67791992162734394</v>
      </c>
      <c r="O369" s="132">
        <v>2375.0272862905713</v>
      </c>
      <c r="P369" s="133">
        <v>0.32208007837265601</v>
      </c>
    </row>
    <row r="370" spans="1:16" ht="20.25" customHeight="1">
      <c r="A370" s="63">
        <v>366</v>
      </c>
      <c r="B370" s="63">
        <v>1</v>
      </c>
      <c r="C370" s="62" t="s">
        <v>57</v>
      </c>
      <c r="D370" s="131" t="s">
        <v>730</v>
      </c>
      <c r="E370" s="66">
        <v>5881.1427984674147</v>
      </c>
      <c r="F370" s="74" t="s">
        <v>91</v>
      </c>
      <c r="G370" s="68">
        <v>17973</v>
      </c>
      <c r="H370" s="72" t="s">
        <v>116</v>
      </c>
      <c r="I370" s="88" t="s">
        <v>149</v>
      </c>
      <c r="J370" s="132">
        <v>5881.1427984674147</v>
      </c>
      <c r="K370" s="132">
        <v>17973</v>
      </c>
      <c r="L370" s="133">
        <v>3.0560387013020054</v>
      </c>
      <c r="M370" s="132">
        <v>2357</v>
      </c>
      <c r="N370" s="134">
        <v>0.40077244861563605</v>
      </c>
      <c r="O370" s="132">
        <v>3524.1427984674147</v>
      </c>
      <c r="P370" s="133">
        <v>0.5992275513843639</v>
      </c>
    </row>
    <row r="371" spans="1:16" ht="20.25" customHeight="1">
      <c r="A371" s="63">
        <v>367</v>
      </c>
      <c r="B371" s="63">
        <v>3</v>
      </c>
      <c r="C371" s="62" t="s">
        <v>57</v>
      </c>
      <c r="D371" s="131" t="s">
        <v>731</v>
      </c>
      <c r="E371" s="66">
        <v>1706.4701564293459</v>
      </c>
      <c r="F371" s="67" t="s">
        <v>104</v>
      </c>
      <c r="G371" s="68">
        <v>3916</v>
      </c>
      <c r="H371" s="72" t="s">
        <v>126</v>
      </c>
      <c r="I371" s="88" t="s">
        <v>444</v>
      </c>
      <c r="J371" s="132">
        <v>1706.4701564293459</v>
      </c>
      <c r="K371" s="132">
        <v>3916</v>
      </c>
      <c r="L371" s="133">
        <v>2.2947954789868232</v>
      </c>
      <c r="M371" s="132"/>
      <c r="N371" s="134">
        <v>0</v>
      </c>
      <c r="O371" s="132">
        <v>1706.4701564293459</v>
      </c>
      <c r="P371" s="133">
        <v>1</v>
      </c>
    </row>
    <row r="372" spans="1:16" ht="20.25" customHeight="1">
      <c r="A372" s="63">
        <v>368</v>
      </c>
      <c r="B372" s="63">
        <v>4</v>
      </c>
      <c r="C372" s="62" t="s">
        <v>57</v>
      </c>
      <c r="D372" s="131" t="s">
        <v>732</v>
      </c>
      <c r="E372" s="66">
        <v>4145.1335801315172</v>
      </c>
      <c r="F372" s="74" t="s">
        <v>104</v>
      </c>
      <c r="G372" s="68">
        <v>3751</v>
      </c>
      <c r="H372" s="72" t="s">
        <v>116</v>
      </c>
      <c r="I372" s="88" t="s">
        <v>225</v>
      </c>
      <c r="J372" s="132">
        <v>4145.1335801315172</v>
      </c>
      <c r="K372" s="132">
        <v>3751</v>
      </c>
      <c r="L372" s="133">
        <v>0.90491655515743064</v>
      </c>
      <c r="M372" s="132"/>
      <c r="N372" s="134">
        <v>0</v>
      </c>
      <c r="O372" s="132">
        <v>4145.1335801315172</v>
      </c>
      <c r="P372" s="133">
        <v>1</v>
      </c>
    </row>
    <row r="373" spans="1:16" ht="20.25" customHeight="1">
      <c r="A373" s="63">
        <v>369</v>
      </c>
      <c r="B373" s="63">
        <v>5</v>
      </c>
      <c r="C373" s="62" t="s">
        <v>57</v>
      </c>
      <c r="D373" s="131" t="s">
        <v>733</v>
      </c>
      <c r="E373" s="66">
        <v>179.62974056051999</v>
      </c>
      <c r="F373" s="67" t="s">
        <v>104</v>
      </c>
      <c r="G373" s="68">
        <v>1416</v>
      </c>
      <c r="H373" s="72" t="s">
        <v>116</v>
      </c>
      <c r="I373" s="88" t="s">
        <v>361</v>
      </c>
      <c r="J373" s="132">
        <v>179.62974056051999</v>
      </c>
      <c r="K373" s="132">
        <v>1416</v>
      </c>
      <c r="L373" s="133">
        <v>7.8828817298376492</v>
      </c>
      <c r="M373" s="132"/>
      <c r="N373" s="134">
        <v>0</v>
      </c>
      <c r="O373" s="132">
        <v>179.62974056051999</v>
      </c>
      <c r="P373" s="133">
        <v>1</v>
      </c>
    </row>
    <row r="374" spans="1:16" ht="20.25" customHeight="1">
      <c r="A374" s="63">
        <v>370</v>
      </c>
      <c r="B374" s="63">
        <v>2</v>
      </c>
      <c r="C374" s="62" t="s">
        <v>57</v>
      </c>
      <c r="D374" s="131" t="s">
        <v>734</v>
      </c>
      <c r="E374" s="66">
        <v>9.5529406908459986</v>
      </c>
      <c r="F374" s="74" t="s">
        <v>123</v>
      </c>
      <c r="G374" s="68"/>
      <c r="H374" s="72" t="s">
        <v>116</v>
      </c>
      <c r="I374" s="88" t="s">
        <v>265</v>
      </c>
      <c r="J374" s="132">
        <v>9.5529406908459986</v>
      </c>
      <c r="K374" s="132"/>
      <c r="L374" s="133">
        <v>0</v>
      </c>
      <c r="M374" s="132"/>
      <c r="N374" s="134">
        <v>0</v>
      </c>
      <c r="O374" s="132">
        <v>9.5529406908459986</v>
      </c>
      <c r="P374" s="133">
        <v>1</v>
      </c>
    </row>
    <row r="375" spans="1:16" ht="20.25" customHeight="1">
      <c r="A375" s="63">
        <v>371</v>
      </c>
      <c r="B375" s="63">
        <v>1</v>
      </c>
      <c r="C375" s="64" t="s">
        <v>58</v>
      </c>
      <c r="D375" s="131" t="s">
        <v>735</v>
      </c>
      <c r="E375" s="84">
        <v>19659.830852926905</v>
      </c>
      <c r="F375" s="67" t="s">
        <v>123</v>
      </c>
      <c r="G375" s="68"/>
      <c r="H375" s="72" t="s">
        <v>116</v>
      </c>
      <c r="I375" s="88" t="s">
        <v>736</v>
      </c>
      <c r="J375" s="132">
        <v>19659.830852926905</v>
      </c>
      <c r="K375" s="132"/>
      <c r="L375" s="133">
        <v>0</v>
      </c>
      <c r="M375" s="132"/>
      <c r="N375" s="134">
        <v>0</v>
      </c>
      <c r="O375" s="132">
        <v>19659.830852926905</v>
      </c>
      <c r="P375" s="133">
        <v>1</v>
      </c>
    </row>
    <row r="376" spans="1:16" ht="20.25" customHeight="1">
      <c r="A376" s="63">
        <v>372</v>
      </c>
      <c r="B376" s="63">
        <v>3</v>
      </c>
      <c r="C376" s="64" t="s">
        <v>58</v>
      </c>
      <c r="D376" s="131" t="s">
        <v>737</v>
      </c>
      <c r="E376" s="84">
        <v>1083.6957029573994</v>
      </c>
      <c r="F376" s="74" t="s">
        <v>91</v>
      </c>
      <c r="G376" s="68">
        <v>2413.4</v>
      </c>
      <c r="H376" s="72" t="s">
        <v>97</v>
      </c>
      <c r="I376" s="88" t="s">
        <v>738</v>
      </c>
      <c r="J376" s="132">
        <v>1083.6957029573994</v>
      </c>
      <c r="K376" s="132">
        <v>2413.4</v>
      </c>
      <c r="L376" s="133">
        <v>2.2270089227205068</v>
      </c>
      <c r="M376" s="132">
        <v>963.63144703811145</v>
      </c>
      <c r="N376" s="134">
        <v>0.88920851527635181</v>
      </c>
      <c r="O376" s="132">
        <v>120.06425591928792</v>
      </c>
      <c r="P376" s="133">
        <v>0.11079148472364821</v>
      </c>
    </row>
    <row r="377" spans="1:16" ht="20.25" customHeight="1">
      <c r="A377" s="63">
        <v>373</v>
      </c>
      <c r="B377" s="63">
        <v>2</v>
      </c>
      <c r="C377" s="64" t="s">
        <v>58</v>
      </c>
      <c r="D377" s="131" t="s">
        <v>739</v>
      </c>
      <c r="E377" s="84">
        <v>1555.158245824789</v>
      </c>
      <c r="F377" s="67" t="s">
        <v>104</v>
      </c>
      <c r="G377" s="68">
        <v>1619</v>
      </c>
      <c r="H377" s="72" t="s">
        <v>116</v>
      </c>
      <c r="I377" s="88" t="s">
        <v>740</v>
      </c>
      <c r="J377" s="132">
        <v>1555.158245824789</v>
      </c>
      <c r="K377" s="132">
        <v>1619</v>
      </c>
      <c r="L377" s="133">
        <v>1.0410516128160012</v>
      </c>
      <c r="M377" s="132"/>
      <c r="N377" s="134">
        <v>0</v>
      </c>
      <c r="O377" s="132">
        <v>1555.158245824789</v>
      </c>
      <c r="P377" s="133">
        <v>1</v>
      </c>
    </row>
    <row r="378" spans="1:16" ht="20.25" customHeight="1">
      <c r="A378" s="63">
        <v>374</v>
      </c>
      <c r="B378" s="63">
        <v>4</v>
      </c>
      <c r="C378" s="64" t="s">
        <v>58</v>
      </c>
      <c r="D378" s="131" t="s">
        <v>741</v>
      </c>
      <c r="E378" s="84">
        <v>3829.8114363590885</v>
      </c>
      <c r="F378" s="74" t="s">
        <v>91</v>
      </c>
      <c r="G378" s="68">
        <v>4221.0999999999995</v>
      </c>
      <c r="H378" s="72" t="s">
        <v>92</v>
      </c>
      <c r="I378" s="88" t="s">
        <v>742</v>
      </c>
      <c r="J378" s="132">
        <v>3829.8114363590885</v>
      </c>
      <c r="K378" s="132">
        <v>4221.0999999999995</v>
      </c>
      <c r="L378" s="133">
        <v>1.1021691459600684</v>
      </c>
      <c r="M378" s="132">
        <v>3727.182486385143</v>
      </c>
      <c r="N378" s="134">
        <v>0.97320261018607424</v>
      </c>
      <c r="O378" s="132">
        <v>102.62894997394551</v>
      </c>
      <c r="P378" s="133">
        <v>2.6797389813925782E-2</v>
      </c>
    </row>
    <row r="379" spans="1:16" ht="20.25" customHeight="1">
      <c r="A379" s="63">
        <v>375</v>
      </c>
      <c r="B379" s="63">
        <v>5</v>
      </c>
      <c r="C379" s="64" t="s">
        <v>58</v>
      </c>
      <c r="D379" s="131" t="s">
        <v>743</v>
      </c>
      <c r="E379" s="84">
        <v>18.044060688986001</v>
      </c>
      <c r="F379" s="67" t="s">
        <v>123</v>
      </c>
      <c r="G379" s="68"/>
      <c r="H379" s="72" t="s">
        <v>116</v>
      </c>
      <c r="I379" s="88" t="s">
        <v>744</v>
      </c>
      <c r="J379" s="132">
        <v>18.044060688986001</v>
      </c>
      <c r="K379" s="132"/>
      <c r="L379" s="133">
        <v>0</v>
      </c>
      <c r="M379" s="132"/>
      <c r="N379" s="134">
        <v>0</v>
      </c>
      <c r="O379" s="132">
        <v>18.044060688986001</v>
      </c>
      <c r="P379" s="133">
        <v>1</v>
      </c>
    </row>
    <row r="380" spans="1:16" ht="20.25" customHeight="1">
      <c r="A380" s="63">
        <v>376</v>
      </c>
      <c r="B380" s="63">
        <v>6</v>
      </c>
      <c r="C380" s="64" t="s">
        <v>58</v>
      </c>
      <c r="D380" s="131" t="s">
        <v>745</v>
      </c>
      <c r="E380" s="84"/>
      <c r="F380" s="74" t="s">
        <v>123</v>
      </c>
      <c r="G380" s="68"/>
      <c r="H380" s="72" t="s">
        <v>116</v>
      </c>
      <c r="I380" s="88" t="s">
        <v>744</v>
      </c>
      <c r="J380" s="132"/>
      <c r="K380" s="132"/>
      <c r="L380" s="133" t="s">
        <v>394</v>
      </c>
      <c r="M380" s="132"/>
      <c r="N380" s="134" t="s">
        <v>394</v>
      </c>
      <c r="O380" s="132">
        <v>0</v>
      </c>
      <c r="P380" s="133" t="s">
        <v>394</v>
      </c>
    </row>
    <row r="381" spans="1:16" ht="20.25" customHeight="1">
      <c r="A381" s="63">
        <v>377</v>
      </c>
      <c r="B381" s="63">
        <v>7</v>
      </c>
      <c r="C381" s="64" t="s">
        <v>58</v>
      </c>
      <c r="D381" s="131" t="s">
        <v>746</v>
      </c>
      <c r="E381" s="84">
        <v>249.08767930159982</v>
      </c>
      <c r="F381" s="67" t="s">
        <v>104</v>
      </c>
      <c r="G381" s="68">
        <v>22093</v>
      </c>
      <c r="H381" s="72" t="s">
        <v>116</v>
      </c>
      <c r="I381" s="88" t="s">
        <v>321</v>
      </c>
      <c r="J381" s="132">
        <v>249.08767930159982</v>
      </c>
      <c r="K381" s="132">
        <v>22093</v>
      </c>
      <c r="L381" s="133">
        <v>88.695675602844247</v>
      </c>
      <c r="M381" s="132"/>
      <c r="N381" s="134">
        <v>0</v>
      </c>
      <c r="O381" s="132">
        <v>249.08767930159982</v>
      </c>
      <c r="P381" s="133">
        <v>1</v>
      </c>
    </row>
    <row r="382" spans="1:16" ht="20.25" customHeight="1">
      <c r="A382" s="63">
        <v>378</v>
      </c>
      <c r="B382" s="63">
        <v>8</v>
      </c>
      <c r="C382" s="64" t="s">
        <v>58</v>
      </c>
      <c r="D382" s="131" t="s">
        <v>747</v>
      </c>
      <c r="E382" s="84">
        <v>79.044381817767984</v>
      </c>
      <c r="F382" s="74" t="s">
        <v>104</v>
      </c>
      <c r="G382" s="68">
        <v>180</v>
      </c>
      <c r="H382" s="72" t="s">
        <v>116</v>
      </c>
      <c r="I382" s="88" t="s">
        <v>748</v>
      </c>
      <c r="J382" s="132">
        <v>79.044381817767984</v>
      </c>
      <c r="K382" s="132">
        <v>180</v>
      </c>
      <c r="L382" s="133">
        <v>2.2772016917657609</v>
      </c>
      <c r="M382" s="132"/>
      <c r="N382" s="134">
        <v>0</v>
      </c>
      <c r="O382" s="132">
        <v>79.044381817767984</v>
      </c>
      <c r="P382" s="133">
        <v>1</v>
      </c>
    </row>
    <row r="383" spans="1:16" ht="20.25" customHeight="1">
      <c r="A383" s="63">
        <v>379</v>
      </c>
      <c r="B383" s="63">
        <v>9</v>
      </c>
      <c r="C383" s="64" t="s">
        <v>58</v>
      </c>
      <c r="D383" s="131" t="s">
        <v>749</v>
      </c>
      <c r="E383" s="84">
        <v>2135.7595373827148</v>
      </c>
      <c r="F383" s="67" t="s">
        <v>104</v>
      </c>
      <c r="G383" s="68">
        <v>1271.1400000000001</v>
      </c>
      <c r="H383" s="72" t="s">
        <v>116</v>
      </c>
      <c r="I383" s="88" t="s">
        <v>444</v>
      </c>
      <c r="J383" s="132">
        <v>2135.7595373827148</v>
      </c>
      <c r="K383" s="132">
        <v>1271.1400000000001</v>
      </c>
      <c r="L383" s="133">
        <v>0.59516999819077465</v>
      </c>
      <c r="M383" s="132"/>
      <c r="N383" s="134">
        <v>0</v>
      </c>
      <c r="O383" s="132">
        <v>2135.7595373827148</v>
      </c>
      <c r="P383" s="133">
        <v>1</v>
      </c>
    </row>
    <row r="384" spans="1:16" ht="20.25" customHeight="1">
      <c r="A384" s="63">
        <v>380</v>
      </c>
      <c r="B384" s="63">
        <v>10</v>
      </c>
      <c r="C384" s="64" t="s">
        <v>58</v>
      </c>
      <c r="D384" s="131" t="s">
        <v>750</v>
      </c>
      <c r="E384" s="84">
        <v>54.025234779304995</v>
      </c>
      <c r="F384" s="74" t="s">
        <v>123</v>
      </c>
      <c r="G384" s="68"/>
      <c r="H384" s="72" t="s">
        <v>116</v>
      </c>
      <c r="I384" s="88" t="s">
        <v>647</v>
      </c>
      <c r="J384" s="132">
        <v>54.025234779304995</v>
      </c>
      <c r="K384" s="132"/>
      <c r="L384" s="133">
        <v>0</v>
      </c>
      <c r="M384" s="132"/>
      <c r="N384" s="134">
        <v>0</v>
      </c>
      <c r="O384" s="132">
        <v>54.025234779304995</v>
      </c>
      <c r="P384" s="133">
        <v>1</v>
      </c>
    </row>
    <row r="385" spans="1:16" ht="20.25" customHeight="1">
      <c r="A385" s="63">
        <v>381</v>
      </c>
      <c r="B385" s="63">
        <v>11</v>
      </c>
      <c r="C385" s="64" t="s">
        <v>58</v>
      </c>
      <c r="D385" s="131" t="s">
        <v>751</v>
      </c>
      <c r="E385" s="84">
        <v>957.04143007417963</v>
      </c>
      <c r="F385" s="67" t="s">
        <v>123</v>
      </c>
      <c r="G385" s="68"/>
      <c r="H385" s="72" t="s">
        <v>116</v>
      </c>
      <c r="I385" s="88" t="s">
        <v>752</v>
      </c>
      <c r="J385" s="132">
        <v>957.04143007417963</v>
      </c>
      <c r="K385" s="132"/>
      <c r="L385" s="133">
        <v>0</v>
      </c>
      <c r="M385" s="132"/>
      <c r="N385" s="134">
        <v>0</v>
      </c>
      <c r="O385" s="132">
        <v>957.04143007417963</v>
      </c>
      <c r="P385" s="133">
        <v>1</v>
      </c>
    </row>
    <row r="386" spans="1:16" ht="20.25" customHeight="1">
      <c r="A386" s="63">
        <v>382</v>
      </c>
      <c r="B386" s="63">
        <v>12</v>
      </c>
      <c r="C386" s="64" t="s">
        <v>58</v>
      </c>
      <c r="D386" s="131" t="s">
        <v>753</v>
      </c>
      <c r="E386" s="84">
        <v>7171.5795642407129</v>
      </c>
      <c r="F386" s="74" t="s">
        <v>104</v>
      </c>
      <c r="G386" s="68">
        <v>4500</v>
      </c>
      <c r="H386" s="72" t="s">
        <v>116</v>
      </c>
      <c r="I386" s="88" t="s">
        <v>647</v>
      </c>
      <c r="J386" s="132">
        <v>7171.5795642407129</v>
      </c>
      <c r="K386" s="132">
        <v>4500</v>
      </c>
      <c r="L386" s="133">
        <v>0.62747682845744668</v>
      </c>
      <c r="M386" s="132"/>
      <c r="N386" s="134">
        <v>0</v>
      </c>
      <c r="O386" s="132">
        <v>7171.5795642407129</v>
      </c>
      <c r="P386" s="133">
        <v>1</v>
      </c>
    </row>
    <row r="387" spans="1:16" ht="20.25" customHeight="1">
      <c r="A387" s="63">
        <v>383</v>
      </c>
      <c r="B387" s="63">
        <v>13</v>
      </c>
      <c r="C387" s="64" t="s">
        <v>58</v>
      </c>
      <c r="D387" s="131" t="s">
        <v>754</v>
      </c>
      <c r="E387" s="84">
        <v>5346.950586863758</v>
      </c>
      <c r="F387" s="67" t="s">
        <v>91</v>
      </c>
      <c r="G387" s="68">
        <v>3818.91</v>
      </c>
      <c r="H387" s="72" t="s">
        <v>97</v>
      </c>
      <c r="I387" s="88" t="s">
        <v>755</v>
      </c>
      <c r="J387" s="132">
        <v>5346.950586863758</v>
      </c>
      <c r="K387" s="132">
        <v>3818.91</v>
      </c>
      <c r="L387" s="133">
        <v>0.71422204824226232</v>
      </c>
      <c r="M387" s="135">
        <v>3572.5273736047202</v>
      </c>
      <c r="N387" s="134">
        <v>0.66814295654454103</v>
      </c>
      <c r="O387" s="132">
        <v>1774.4232132590378</v>
      </c>
      <c r="P387" s="133">
        <v>0.33185704345545891</v>
      </c>
    </row>
    <row r="388" spans="1:16" ht="20.25" customHeight="1">
      <c r="A388" s="63">
        <v>384</v>
      </c>
      <c r="B388" s="63">
        <v>14</v>
      </c>
      <c r="C388" s="64" t="s">
        <v>58</v>
      </c>
      <c r="D388" s="131" t="s">
        <v>756</v>
      </c>
      <c r="E388" s="84">
        <v>2191.5111952768452</v>
      </c>
      <c r="F388" s="74" t="s">
        <v>123</v>
      </c>
      <c r="G388" s="68"/>
      <c r="H388" s="72" t="s">
        <v>116</v>
      </c>
      <c r="I388" s="88" t="s">
        <v>757</v>
      </c>
      <c r="J388" s="132">
        <v>2191.5111952768452</v>
      </c>
      <c r="K388" s="132"/>
      <c r="L388" s="133">
        <v>0</v>
      </c>
      <c r="M388" s="132"/>
      <c r="N388" s="134">
        <v>0</v>
      </c>
      <c r="O388" s="132">
        <v>2191.5111952768452</v>
      </c>
      <c r="P388" s="133">
        <v>1</v>
      </c>
    </row>
    <row r="389" spans="1:16" ht="20.25" customHeight="1">
      <c r="A389" s="63">
        <v>385</v>
      </c>
      <c r="B389" s="63">
        <v>15</v>
      </c>
      <c r="C389" s="64" t="s">
        <v>58</v>
      </c>
      <c r="D389" s="131" t="s">
        <v>758</v>
      </c>
      <c r="E389" s="84">
        <v>2711.837824758496</v>
      </c>
      <c r="F389" s="67" t="s">
        <v>123</v>
      </c>
      <c r="G389" s="68"/>
      <c r="H389" s="72" t="s">
        <v>116</v>
      </c>
      <c r="I389" s="88" t="s">
        <v>759</v>
      </c>
      <c r="J389" s="132">
        <v>2711.837824758496</v>
      </c>
      <c r="K389" s="132"/>
      <c r="L389" s="133">
        <v>0</v>
      </c>
      <c r="M389" s="132"/>
      <c r="N389" s="134">
        <v>0</v>
      </c>
      <c r="O389" s="132">
        <v>2711.837824758496</v>
      </c>
      <c r="P389" s="133">
        <v>1</v>
      </c>
    </row>
    <row r="390" spans="1:16" ht="20.25" customHeight="1">
      <c r="A390" s="63">
        <v>386</v>
      </c>
      <c r="B390" s="63">
        <v>1</v>
      </c>
      <c r="C390" s="64" t="s">
        <v>59</v>
      </c>
      <c r="D390" s="131" t="s">
        <v>760</v>
      </c>
      <c r="E390" s="84">
        <v>23809.278842771804</v>
      </c>
      <c r="F390" s="74" t="s">
        <v>123</v>
      </c>
      <c r="G390" s="68">
        <v>0</v>
      </c>
      <c r="H390" s="72" t="s">
        <v>126</v>
      </c>
      <c r="I390" s="88" t="s">
        <v>161</v>
      </c>
      <c r="J390" s="132">
        <v>23809.278842771804</v>
      </c>
      <c r="K390" s="132">
        <v>0</v>
      </c>
      <c r="L390" s="133">
        <v>0</v>
      </c>
      <c r="M390" s="132"/>
      <c r="N390" s="134">
        <v>0</v>
      </c>
      <c r="O390" s="132">
        <v>23809.278842771804</v>
      </c>
      <c r="P390" s="133">
        <v>1</v>
      </c>
    </row>
    <row r="391" spans="1:16" ht="20.25" customHeight="1">
      <c r="A391" s="63">
        <v>387</v>
      </c>
      <c r="B391" s="63">
        <v>2</v>
      </c>
      <c r="C391" s="64" t="s">
        <v>59</v>
      </c>
      <c r="D391" s="131" t="s">
        <v>761</v>
      </c>
      <c r="E391" s="84">
        <v>426.29707402534842</v>
      </c>
      <c r="F391" s="67" t="s">
        <v>104</v>
      </c>
      <c r="G391" s="68">
        <v>516</v>
      </c>
      <c r="H391" s="72" t="s">
        <v>116</v>
      </c>
      <c r="I391" s="88" t="s">
        <v>614</v>
      </c>
      <c r="J391" s="132">
        <v>426.29707402534842</v>
      </c>
      <c r="K391" s="132">
        <v>516</v>
      </c>
      <c r="L391" s="133">
        <v>1.210423508488162</v>
      </c>
      <c r="M391" s="132"/>
      <c r="N391" s="134">
        <v>0</v>
      </c>
      <c r="O391" s="132">
        <v>426.29707402534842</v>
      </c>
      <c r="P391" s="133">
        <v>1</v>
      </c>
    </row>
    <row r="392" spans="1:16" ht="20.25" customHeight="1">
      <c r="A392" s="63">
        <v>388</v>
      </c>
      <c r="B392" s="63">
        <v>3</v>
      </c>
      <c r="C392" s="64" t="s">
        <v>59</v>
      </c>
      <c r="D392" s="131" t="s">
        <v>762</v>
      </c>
      <c r="E392" s="84"/>
      <c r="F392" s="74" t="s">
        <v>123</v>
      </c>
      <c r="G392" s="68"/>
      <c r="H392" s="72" t="s">
        <v>116</v>
      </c>
      <c r="I392" s="88" t="s">
        <v>763</v>
      </c>
      <c r="J392" s="132"/>
      <c r="K392" s="132"/>
      <c r="L392" s="133" t="s">
        <v>394</v>
      </c>
      <c r="M392" s="132"/>
      <c r="N392" s="134" t="s">
        <v>394</v>
      </c>
      <c r="O392" s="132">
        <v>0</v>
      </c>
      <c r="P392" s="133" t="s">
        <v>394</v>
      </c>
    </row>
    <row r="393" spans="1:16" ht="20.25" customHeight="1">
      <c r="A393" s="63">
        <v>389</v>
      </c>
      <c r="B393" s="63">
        <v>4</v>
      </c>
      <c r="C393" s="64" t="s">
        <v>59</v>
      </c>
      <c r="D393" s="131" t="s">
        <v>764</v>
      </c>
      <c r="E393" s="66">
        <v>3622.9238781080912</v>
      </c>
      <c r="F393" s="67" t="s">
        <v>104</v>
      </c>
      <c r="G393" s="68">
        <v>76216</v>
      </c>
      <c r="H393" s="72" t="s">
        <v>116</v>
      </c>
      <c r="I393" s="88" t="s">
        <v>432</v>
      </c>
      <c r="J393" s="132">
        <v>3622.9238781080912</v>
      </c>
      <c r="K393" s="132">
        <v>76216</v>
      </c>
      <c r="L393" s="133">
        <v>21.037151914933517</v>
      </c>
      <c r="M393" s="132"/>
      <c r="N393" s="134">
        <v>0</v>
      </c>
      <c r="O393" s="132">
        <v>3622.9238781080912</v>
      </c>
      <c r="P393" s="133">
        <v>1</v>
      </c>
    </row>
    <row r="394" spans="1:16" ht="20.25" customHeight="1">
      <c r="A394" s="63">
        <v>390</v>
      </c>
      <c r="B394" s="63">
        <v>5</v>
      </c>
      <c r="C394" s="64" t="s">
        <v>59</v>
      </c>
      <c r="D394" s="131" t="s">
        <v>765</v>
      </c>
      <c r="E394" s="66">
        <v>8578.8331977954495</v>
      </c>
      <c r="F394" s="74" t="s">
        <v>104</v>
      </c>
      <c r="G394" s="68">
        <v>12500</v>
      </c>
      <c r="H394" s="72" t="s">
        <v>116</v>
      </c>
      <c r="I394" s="88" t="s">
        <v>161</v>
      </c>
      <c r="J394" s="132">
        <v>8578.8331977954495</v>
      </c>
      <c r="K394" s="132">
        <v>12500</v>
      </c>
      <c r="L394" s="133">
        <v>1.4570746058114517</v>
      </c>
      <c r="M394" s="132"/>
      <c r="N394" s="134">
        <v>0</v>
      </c>
      <c r="O394" s="132">
        <v>8578.8331977954495</v>
      </c>
      <c r="P394" s="133">
        <v>1</v>
      </c>
    </row>
    <row r="395" spans="1:16" ht="20.25" customHeight="1">
      <c r="A395" s="63">
        <v>391</v>
      </c>
      <c r="B395" s="63">
        <v>6</v>
      </c>
      <c r="C395" s="64" t="s">
        <v>59</v>
      </c>
      <c r="D395" s="131" t="s">
        <v>766</v>
      </c>
      <c r="E395" s="66">
        <v>410.74972821906823</v>
      </c>
      <c r="F395" s="67" t="s">
        <v>91</v>
      </c>
      <c r="G395" s="68">
        <v>427</v>
      </c>
      <c r="H395" s="72" t="s">
        <v>116</v>
      </c>
      <c r="I395" s="88" t="s">
        <v>243</v>
      </c>
      <c r="J395" s="132">
        <v>410.74972821906823</v>
      </c>
      <c r="K395" s="132">
        <v>427</v>
      </c>
      <c r="L395" s="133">
        <v>1.0395624650840058</v>
      </c>
      <c r="M395" s="132">
        <v>97</v>
      </c>
      <c r="N395" s="134">
        <v>0.23615353422283036</v>
      </c>
      <c r="O395" s="132">
        <v>313.74972821906823</v>
      </c>
      <c r="P395" s="133">
        <v>0.76384646577716964</v>
      </c>
    </row>
    <row r="396" spans="1:16" ht="20.25" customHeight="1">
      <c r="A396" s="63">
        <v>392</v>
      </c>
      <c r="B396" s="63">
        <v>7</v>
      </c>
      <c r="C396" s="64" t="s">
        <v>59</v>
      </c>
      <c r="D396" s="131" t="s">
        <v>767</v>
      </c>
      <c r="E396" s="66">
        <v>6056.8078699316975</v>
      </c>
      <c r="F396" s="74" t="s">
        <v>91</v>
      </c>
      <c r="G396" s="68">
        <v>4835.2700000000004</v>
      </c>
      <c r="H396" s="72" t="s">
        <v>97</v>
      </c>
      <c r="I396" s="88" t="s">
        <v>768</v>
      </c>
      <c r="J396" s="132">
        <v>6056.8078699316975</v>
      </c>
      <c r="K396" s="132">
        <v>4835.2700000000004</v>
      </c>
      <c r="L396" s="133">
        <v>0.79831985822170837</v>
      </c>
      <c r="M396" s="132">
        <v>4373</v>
      </c>
      <c r="N396" s="134">
        <v>0.72199747687379001</v>
      </c>
      <c r="O396" s="132">
        <v>1683.8078699316975</v>
      </c>
      <c r="P396" s="133">
        <v>0.27800252312620999</v>
      </c>
    </row>
    <row r="397" spans="1:16" ht="20.25" customHeight="1">
      <c r="A397" s="63">
        <v>393</v>
      </c>
      <c r="B397" s="63">
        <v>8</v>
      </c>
      <c r="C397" s="64" t="s">
        <v>59</v>
      </c>
      <c r="D397" s="131" t="s">
        <v>769</v>
      </c>
      <c r="E397" s="66">
        <v>6683.5709048576873</v>
      </c>
      <c r="F397" s="67" t="s">
        <v>91</v>
      </c>
      <c r="G397" s="68">
        <v>154494</v>
      </c>
      <c r="H397" s="72" t="s">
        <v>126</v>
      </c>
      <c r="I397" s="88" t="s">
        <v>770</v>
      </c>
      <c r="J397" s="132">
        <v>6683.5709048576873</v>
      </c>
      <c r="K397" s="132">
        <v>154494</v>
      </c>
      <c r="L397" s="133">
        <v>23.115487543898457</v>
      </c>
      <c r="M397" s="132">
        <v>6667.3786790000004</v>
      </c>
      <c r="N397" s="134">
        <v>0.99757730918274268</v>
      </c>
      <c r="O397" s="132">
        <v>16.192225857686935</v>
      </c>
      <c r="P397" s="133">
        <v>2.4226908172573229E-3</v>
      </c>
    </row>
    <row r="398" spans="1:16" ht="20.25" customHeight="1">
      <c r="A398" s="63">
        <v>394</v>
      </c>
      <c r="B398" s="63">
        <v>9</v>
      </c>
      <c r="C398" s="64" t="s">
        <v>59</v>
      </c>
      <c r="D398" s="131" t="s">
        <v>771</v>
      </c>
      <c r="E398" s="66">
        <v>27413.091240013317</v>
      </c>
      <c r="F398" s="74" t="s">
        <v>91</v>
      </c>
      <c r="G398" s="68">
        <v>59956</v>
      </c>
      <c r="H398" s="72" t="s">
        <v>116</v>
      </c>
      <c r="I398" s="88" t="s">
        <v>155</v>
      </c>
      <c r="J398" s="132">
        <v>27413.091240013317</v>
      </c>
      <c r="K398" s="132">
        <v>59956</v>
      </c>
      <c r="L398" s="133">
        <v>2.1871302099810497</v>
      </c>
      <c r="M398" s="132">
        <v>26308</v>
      </c>
      <c r="N398" s="134">
        <v>0.95968746354295575</v>
      </c>
      <c r="O398" s="132">
        <v>1105.0912400133166</v>
      </c>
      <c r="P398" s="133">
        <v>4.0312536457044225E-2</v>
      </c>
    </row>
    <row r="399" spans="1:16" ht="20.25" customHeight="1">
      <c r="A399" s="63">
        <v>395</v>
      </c>
      <c r="B399" s="63">
        <v>10</v>
      </c>
      <c r="C399" s="64" t="s">
        <v>59</v>
      </c>
      <c r="D399" s="131" t="s">
        <v>772</v>
      </c>
      <c r="E399" s="66">
        <v>15653.907115466192</v>
      </c>
      <c r="F399" s="67" t="s">
        <v>91</v>
      </c>
      <c r="G399" s="68">
        <v>15300.89</v>
      </c>
      <c r="H399" s="72" t="s">
        <v>97</v>
      </c>
      <c r="I399" s="88" t="s">
        <v>773</v>
      </c>
      <c r="J399" s="132">
        <v>15653.907115466192</v>
      </c>
      <c r="K399" s="132">
        <v>15300.89</v>
      </c>
      <c r="L399" s="133">
        <v>0.97744862590136306</v>
      </c>
      <c r="M399" s="132">
        <v>11737</v>
      </c>
      <c r="N399" s="134">
        <v>0.74978086387159826</v>
      </c>
      <c r="O399" s="132">
        <v>3916.9071154661924</v>
      </c>
      <c r="P399" s="133">
        <v>0.2502191361284018</v>
      </c>
    </row>
    <row r="400" spans="1:16" ht="20.25" customHeight="1">
      <c r="A400" s="63">
        <v>396</v>
      </c>
      <c r="B400" s="63">
        <v>11</v>
      </c>
      <c r="C400" s="64" t="s">
        <v>59</v>
      </c>
      <c r="D400" s="131" t="s">
        <v>774</v>
      </c>
      <c r="E400" s="66">
        <v>13822.844059525192</v>
      </c>
      <c r="F400" s="74" t="s">
        <v>91</v>
      </c>
      <c r="G400" s="68">
        <v>27537</v>
      </c>
      <c r="H400" s="72" t="s">
        <v>116</v>
      </c>
      <c r="I400" s="88" t="s">
        <v>149</v>
      </c>
      <c r="J400" s="132">
        <v>13822.844059525192</v>
      </c>
      <c r="K400" s="132">
        <v>27537</v>
      </c>
      <c r="L400" s="133">
        <v>1.9921370653837704</v>
      </c>
      <c r="M400" s="132">
        <v>11075.97471</v>
      </c>
      <c r="N400" s="134">
        <v>0.80128045012326177</v>
      </c>
      <c r="O400" s="132">
        <v>2746.8693495251919</v>
      </c>
      <c r="P400" s="133">
        <v>0.19871954987673829</v>
      </c>
    </row>
    <row r="401" spans="1:16" ht="20.25" customHeight="1">
      <c r="A401" s="63">
        <v>397</v>
      </c>
      <c r="B401" s="63">
        <v>12</v>
      </c>
      <c r="C401" s="64" t="s">
        <v>59</v>
      </c>
      <c r="D401" s="131" t="s">
        <v>775</v>
      </c>
      <c r="E401" s="66">
        <v>1317.8582057669164</v>
      </c>
      <c r="F401" s="67" t="s">
        <v>104</v>
      </c>
      <c r="G401" s="68">
        <v>5113</v>
      </c>
      <c r="H401" s="72" t="s">
        <v>126</v>
      </c>
      <c r="I401" s="88" t="s">
        <v>776</v>
      </c>
      <c r="J401" s="132">
        <v>1317.8582057669164</v>
      </c>
      <c r="K401" s="132">
        <v>5113</v>
      </c>
      <c r="L401" s="133">
        <v>3.8797800686186363</v>
      </c>
      <c r="M401" s="132"/>
      <c r="N401" s="134">
        <v>0</v>
      </c>
      <c r="O401" s="132">
        <v>1317.8582057669164</v>
      </c>
      <c r="P401" s="133">
        <v>1</v>
      </c>
    </row>
    <row r="402" spans="1:16" ht="20.25" customHeight="1">
      <c r="A402" s="63">
        <v>398</v>
      </c>
      <c r="B402" s="63">
        <v>13</v>
      </c>
      <c r="C402" s="64" t="s">
        <v>59</v>
      </c>
      <c r="D402" s="131" t="s">
        <v>777</v>
      </c>
      <c r="E402" s="66">
        <v>9031.949077692112</v>
      </c>
      <c r="F402" s="74" t="s">
        <v>104</v>
      </c>
      <c r="G402" s="68">
        <v>12351</v>
      </c>
      <c r="H402" s="72" t="s">
        <v>116</v>
      </c>
      <c r="I402" s="88" t="s">
        <v>183</v>
      </c>
      <c r="J402" s="132">
        <v>9031.949077692112</v>
      </c>
      <c r="K402" s="132">
        <v>12351</v>
      </c>
      <c r="L402" s="133">
        <v>1.3674789232930427</v>
      </c>
      <c r="M402" s="132"/>
      <c r="N402" s="134">
        <v>0</v>
      </c>
      <c r="O402" s="132">
        <v>9031.949077692112</v>
      </c>
      <c r="P402" s="133">
        <v>1</v>
      </c>
    </row>
    <row r="403" spans="1:16" ht="20.25" customHeight="1">
      <c r="A403" s="63">
        <v>399</v>
      </c>
      <c r="B403" s="63">
        <v>1</v>
      </c>
      <c r="C403" s="62" t="s">
        <v>63</v>
      </c>
      <c r="D403" s="131" t="s">
        <v>778</v>
      </c>
      <c r="E403" s="66">
        <v>739.54241103574157</v>
      </c>
      <c r="F403" s="67" t="s">
        <v>104</v>
      </c>
      <c r="G403" s="68">
        <v>2513</v>
      </c>
      <c r="H403" s="72" t="s">
        <v>116</v>
      </c>
      <c r="I403" s="88" t="s">
        <v>682</v>
      </c>
      <c r="J403" s="132">
        <v>739.54241103574157</v>
      </c>
      <c r="K403" s="132">
        <v>2513</v>
      </c>
      <c r="L403" s="133">
        <v>3.3980471741715275</v>
      </c>
      <c r="M403" s="132"/>
      <c r="N403" s="134">
        <v>0</v>
      </c>
      <c r="O403" s="132">
        <v>739.54241103574157</v>
      </c>
      <c r="P403" s="133">
        <v>1</v>
      </c>
    </row>
    <row r="404" spans="1:16" ht="20.25" customHeight="1">
      <c r="A404" s="63">
        <v>400</v>
      </c>
      <c r="B404" s="63">
        <v>2</v>
      </c>
      <c r="C404" s="62" t="s">
        <v>63</v>
      </c>
      <c r="D404" s="131" t="s">
        <v>779</v>
      </c>
      <c r="E404" s="66">
        <v>10176.075079923938</v>
      </c>
      <c r="F404" s="74" t="s">
        <v>104</v>
      </c>
      <c r="G404" s="68">
        <v>11251</v>
      </c>
      <c r="H404" s="72" t="s">
        <v>116</v>
      </c>
      <c r="I404" s="88" t="s">
        <v>780</v>
      </c>
      <c r="J404" s="132">
        <v>10176.075079923938</v>
      </c>
      <c r="K404" s="132">
        <v>11251</v>
      </c>
      <c r="L404" s="133">
        <v>1.1056325657617001</v>
      </c>
      <c r="M404" s="132"/>
      <c r="N404" s="134">
        <v>0</v>
      </c>
      <c r="O404" s="132">
        <v>10176.075079923938</v>
      </c>
      <c r="P404" s="133">
        <v>1</v>
      </c>
    </row>
    <row r="405" spans="1:16" ht="20.25" customHeight="1">
      <c r="A405" s="63">
        <v>401</v>
      </c>
      <c r="B405" s="63">
        <v>3</v>
      </c>
      <c r="C405" s="62" t="s">
        <v>63</v>
      </c>
      <c r="D405" s="131" t="s">
        <v>781</v>
      </c>
      <c r="E405" s="66">
        <v>7471.4539492172134</v>
      </c>
      <c r="F405" s="67" t="s">
        <v>91</v>
      </c>
      <c r="G405" s="68">
        <v>7921</v>
      </c>
      <c r="H405" s="72" t="s">
        <v>116</v>
      </c>
      <c r="I405" s="88" t="s">
        <v>782</v>
      </c>
      <c r="J405" s="132">
        <v>7471.4539492172134</v>
      </c>
      <c r="K405" s="132">
        <v>7921</v>
      </c>
      <c r="L405" s="133">
        <v>1.0601684831143054</v>
      </c>
      <c r="M405" s="132">
        <v>5309</v>
      </c>
      <c r="N405" s="134">
        <v>0.71057120020879272</v>
      </c>
      <c r="O405" s="132">
        <v>2162.4539492172134</v>
      </c>
      <c r="P405" s="133">
        <v>0.28942879979120723</v>
      </c>
    </row>
    <row r="406" spans="1:16" ht="20.25" customHeight="1">
      <c r="A406" s="63">
        <v>402</v>
      </c>
      <c r="B406" s="63">
        <v>4</v>
      </c>
      <c r="C406" s="62" t="s">
        <v>63</v>
      </c>
      <c r="D406" s="131" t="s">
        <v>783</v>
      </c>
      <c r="E406" s="66">
        <v>3671.2411340667823</v>
      </c>
      <c r="F406" s="74" t="s">
        <v>91</v>
      </c>
      <c r="G406" s="68">
        <v>5054.6099999999997</v>
      </c>
      <c r="H406" s="72" t="s">
        <v>92</v>
      </c>
      <c r="I406" s="88" t="s">
        <v>784</v>
      </c>
      <c r="J406" s="132">
        <v>3671.2411340667823</v>
      </c>
      <c r="K406" s="132">
        <v>5054.6099999999997</v>
      </c>
      <c r="L406" s="133">
        <v>1.3768123137149544</v>
      </c>
      <c r="M406" s="132">
        <v>3010.37462</v>
      </c>
      <c r="N406" s="134">
        <v>0.81998825739492798</v>
      </c>
      <c r="O406" s="132">
        <v>660.8665140667822</v>
      </c>
      <c r="P406" s="133">
        <v>0.18001174260507199</v>
      </c>
    </row>
    <row r="407" spans="1:16" ht="20.25" customHeight="1">
      <c r="A407" s="63">
        <v>403</v>
      </c>
      <c r="B407" s="63">
        <v>5</v>
      </c>
      <c r="C407" s="62" t="s">
        <v>63</v>
      </c>
      <c r="D407" s="131" t="s">
        <v>785</v>
      </c>
      <c r="E407" s="66">
        <v>811.96037385634895</v>
      </c>
      <c r="F407" s="67" t="s">
        <v>104</v>
      </c>
      <c r="G407" s="68">
        <v>919</v>
      </c>
      <c r="H407" s="72" t="s">
        <v>116</v>
      </c>
      <c r="I407" s="88" t="s">
        <v>267</v>
      </c>
      <c r="J407" s="132">
        <v>811.96037385634895</v>
      </c>
      <c r="K407" s="132">
        <v>919</v>
      </c>
      <c r="L407" s="133">
        <v>1.1318286330098521</v>
      </c>
      <c r="M407" s="132"/>
      <c r="N407" s="134">
        <v>0</v>
      </c>
      <c r="O407" s="132">
        <v>811.96037385634895</v>
      </c>
      <c r="P407" s="133">
        <v>1</v>
      </c>
    </row>
    <row r="408" spans="1:16" ht="20.25" customHeight="1">
      <c r="A408" s="63">
        <v>404</v>
      </c>
      <c r="B408" s="63">
        <v>6</v>
      </c>
      <c r="C408" s="62" t="s">
        <v>63</v>
      </c>
      <c r="D408" s="131" t="s">
        <v>786</v>
      </c>
      <c r="E408" s="66">
        <v>16614.710916454202</v>
      </c>
      <c r="F408" s="74" t="s">
        <v>91</v>
      </c>
      <c r="G408" s="68">
        <v>14111</v>
      </c>
      <c r="H408" s="72" t="s">
        <v>126</v>
      </c>
      <c r="I408" s="88" t="s">
        <v>787</v>
      </c>
      <c r="J408" s="132">
        <v>16614.710916454202</v>
      </c>
      <c r="K408" s="132">
        <v>14111</v>
      </c>
      <c r="L408" s="133">
        <v>0.84930758476365198</v>
      </c>
      <c r="M408" s="132">
        <v>13148</v>
      </c>
      <c r="N408" s="134">
        <v>0.79134690131617147</v>
      </c>
      <c r="O408" s="132">
        <v>3466.7109164542017</v>
      </c>
      <c r="P408" s="133">
        <v>0.20865309868382853</v>
      </c>
    </row>
    <row r="409" spans="1:16" ht="20.25" customHeight="1">
      <c r="A409" s="63">
        <v>405</v>
      </c>
      <c r="B409" s="63">
        <v>1</v>
      </c>
      <c r="C409" s="64" t="s">
        <v>60</v>
      </c>
      <c r="D409" s="131" t="s">
        <v>788</v>
      </c>
      <c r="E409" s="66">
        <v>6584.5753760067028</v>
      </c>
      <c r="F409" s="67" t="s">
        <v>91</v>
      </c>
      <c r="G409" s="68">
        <v>6863.9025726603604</v>
      </c>
      <c r="H409" s="72" t="s">
        <v>116</v>
      </c>
      <c r="I409" s="88" t="s">
        <v>975</v>
      </c>
      <c r="J409" s="132">
        <v>6584.5753760067028</v>
      </c>
      <c r="K409" s="132">
        <v>6863.9025726603604</v>
      </c>
      <c r="L409" s="133">
        <v>1.0424214441635049</v>
      </c>
      <c r="M409" s="132">
        <v>5432.6827355414598</v>
      </c>
      <c r="N409" s="134">
        <v>0.82506197063783593</v>
      </c>
      <c r="O409" s="132">
        <v>1151.8926404652429</v>
      </c>
      <c r="P409" s="133">
        <v>0.17493802936216404</v>
      </c>
    </row>
    <row r="410" spans="1:16" ht="20.25" customHeight="1">
      <c r="A410" s="63">
        <v>406</v>
      </c>
      <c r="B410" s="63">
        <v>2</v>
      </c>
      <c r="C410" s="64" t="s">
        <v>60</v>
      </c>
      <c r="D410" s="131" t="s">
        <v>789</v>
      </c>
      <c r="E410" s="66">
        <v>15702.545830693423</v>
      </c>
      <c r="F410" s="74" t="s">
        <v>91</v>
      </c>
      <c r="G410" s="68">
        <v>9877.56</v>
      </c>
      <c r="H410" s="72" t="s">
        <v>97</v>
      </c>
      <c r="I410" s="88" t="s">
        <v>790</v>
      </c>
      <c r="J410" s="132">
        <v>15702.545830693423</v>
      </c>
      <c r="K410" s="132">
        <v>9877.56</v>
      </c>
      <c r="L410" s="133">
        <v>0.62904194686014214</v>
      </c>
      <c r="M410" s="132">
        <v>9545.3271889999996</v>
      </c>
      <c r="N410" s="134">
        <v>0.6078840521733716</v>
      </c>
      <c r="O410" s="132">
        <v>6157.2186416934237</v>
      </c>
      <c r="P410" s="133">
        <v>0.3921159478266284</v>
      </c>
    </row>
    <row r="411" spans="1:16" ht="20.25" customHeight="1">
      <c r="A411" s="63">
        <v>407</v>
      </c>
      <c r="B411" s="63">
        <v>3</v>
      </c>
      <c r="C411" s="64" t="s">
        <v>60</v>
      </c>
      <c r="D411" s="131" t="s">
        <v>791</v>
      </c>
      <c r="E411" s="66">
        <v>117841.88784165261</v>
      </c>
      <c r="F411" s="67" t="s">
        <v>91</v>
      </c>
      <c r="G411" s="68">
        <v>108891</v>
      </c>
      <c r="H411" s="72" t="s">
        <v>116</v>
      </c>
      <c r="I411" s="88" t="s">
        <v>183</v>
      </c>
      <c r="J411" s="132">
        <v>117841.88784165261</v>
      </c>
      <c r="K411" s="132">
        <v>108891</v>
      </c>
      <c r="L411" s="133">
        <v>0.92404324128207982</v>
      </c>
      <c r="M411" s="132">
        <v>63485</v>
      </c>
      <c r="N411" s="134">
        <v>0.53873033742726983</v>
      </c>
      <c r="O411" s="132">
        <v>54356.887841652613</v>
      </c>
      <c r="P411" s="133">
        <v>0.46126966257273017</v>
      </c>
    </row>
    <row r="412" spans="1:16" ht="20.25" customHeight="1">
      <c r="A412" s="63">
        <v>408</v>
      </c>
      <c r="B412" s="63">
        <v>4</v>
      </c>
      <c r="C412" s="64" t="s">
        <v>60</v>
      </c>
      <c r="D412" s="131" t="s">
        <v>792</v>
      </c>
      <c r="E412" s="66">
        <v>24843.955447433087</v>
      </c>
      <c r="F412" s="74" t="s">
        <v>91</v>
      </c>
      <c r="G412" s="68">
        <v>22140</v>
      </c>
      <c r="H412" s="72" t="s">
        <v>92</v>
      </c>
      <c r="I412" s="88" t="s">
        <v>793</v>
      </c>
      <c r="J412" s="132">
        <v>24843.955447433087</v>
      </c>
      <c r="K412" s="132">
        <v>22140</v>
      </c>
      <c r="L412" s="133">
        <v>0.89116244177967785</v>
      </c>
      <c r="M412" s="132">
        <v>19726.1983716504</v>
      </c>
      <c r="N412" s="134">
        <v>0.79400393441329165</v>
      </c>
      <c r="O412" s="132">
        <v>5117.757075782687</v>
      </c>
      <c r="P412" s="133">
        <v>0.20599606558670838</v>
      </c>
    </row>
    <row r="413" spans="1:16" ht="20.25" customHeight="1">
      <c r="A413" s="63">
        <v>409</v>
      </c>
      <c r="B413" s="63">
        <v>5</v>
      </c>
      <c r="C413" s="64" t="s">
        <v>60</v>
      </c>
      <c r="D413" s="131" t="s">
        <v>794</v>
      </c>
      <c r="E413" s="66">
        <v>8453.523348866509</v>
      </c>
      <c r="F413" s="67" t="s">
        <v>104</v>
      </c>
      <c r="G413" s="68">
        <v>4969.71</v>
      </c>
      <c r="H413" s="72" t="s">
        <v>116</v>
      </c>
      <c r="I413" s="88" t="s">
        <v>795</v>
      </c>
      <c r="J413" s="132">
        <v>8453.523348866509</v>
      </c>
      <c r="K413" s="132">
        <v>4969.71</v>
      </c>
      <c r="L413" s="133">
        <v>0.58788623333800383</v>
      </c>
      <c r="M413" s="132"/>
      <c r="N413" s="134">
        <v>0</v>
      </c>
      <c r="O413" s="132">
        <v>8453.523348866509</v>
      </c>
      <c r="P413" s="133">
        <v>1</v>
      </c>
    </row>
    <row r="414" spans="1:16" ht="20.25" customHeight="1">
      <c r="A414" s="63">
        <v>410</v>
      </c>
      <c r="B414" s="63">
        <v>6</v>
      </c>
      <c r="C414" s="64" t="s">
        <v>60</v>
      </c>
      <c r="D414" s="131" t="s">
        <v>796</v>
      </c>
      <c r="E414" s="66">
        <v>32903.252814761399</v>
      </c>
      <c r="F414" s="74" t="s">
        <v>91</v>
      </c>
      <c r="G414" s="68">
        <v>31936.86</v>
      </c>
      <c r="H414" s="72" t="s">
        <v>92</v>
      </c>
      <c r="I414" s="88" t="s">
        <v>797</v>
      </c>
      <c r="J414" s="132">
        <v>32903.252814761399</v>
      </c>
      <c r="K414" s="132">
        <v>31936.86</v>
      </c>
      <c r="L414" s="133">
        <v>0.9706292620914414</v>
      </c>
      <c r="M414" s="132">
        <v>28178.666003593677</v>
      </c>
      <c r="N414" s="134">
        <v>0.85640973438808066</v>
      </c>
      <c r="O414" s="132">
        <v>4724.5868111677228</v>
      </c>
      <c r="P414" s="133">
        <v>0.14359026561191937</v>
      </c>
    </row>
    <row r="415" spans="1:16" ht="20.25" customHeight="1">
      <c r="A415" s="63">
        <v>411</v>
      </c>
      <c r="B415" s="63">
        <v>7</v>
      </c>
      <c r="C415" s="64" t="s">
        <v>60</v>
      </c>
      <c r="D415" s="131" t="s">
        <v>798</v>
      </c>
      <c r="E415" s="66">
        <v>25995.74387382108</v>
      </c>
      <c r="F415" s="67" t="s">
        <v>91</v>
      </c>
      <c r="G415" s="68">
        <v>25098</v>
      </c>
      <c r="H415" s="72" t="s">
        <v>116</v>
      </c>
      <c r="I415" s="88" t="s">
        <v>799</v>
      </c>
      <c r="J415" s="132">
        <v>25995.74387382108</v>
      </c>
      <c r="K415" s="132">
        <v>25098</v>
      </c>
      <c r="L415" s="133">
        <v>0.96546573630750565</v>
      </c>
      <c r="M415" s="132">
        <v>22309</v>
      </c>
      <c r="N415" s="134">
        <v>0.85817894299482611</v>
      </c>
      <c r="O415" s="132">
        <v>3686.7438738210803</v>
      </c>
      <c r="P415" s="133">
        <v>0.14182105700517392</v>
      </c>
    </row>
    <row r="416" spans="1:16" ht="20.25" customHeight="1">
      <c r="A416" s="63">
        <v>412</v>
      </c>
      <c r="B416" s="63">
        <v>8</v>
      </c>
      <c r="C416" s="64" t="s">
        <v>60</v>
      </c>
      <c r="D416" s="131" t="s">
        <v>800</v>
      </c>
      <c r="E416" s="66">
        <v>1808.8280023108123</v>
      </c>
      <c r="F416" s="74" t="s">
        <v>104</v>
      </c>
      <c r="G416" s="68">
        <v>3583</v>
      </c>
      <c r="H416" s="72" t="s">
        <v>116</v>
      </c>
      <c r="I416" s="88" t="s">
        <v>801</v>
      </c>
      <c r="J416" s="132">
        <v>1808.8280023108123</v>
      </c>
      <c r="K416" s="132">
        <v>3583</v>
      </c>
      <c r="L416" s="133">
        <v>1.9808406301885249</v>
      </c>
      <c r="M416" s="132"/>
      <c r="N416" s="134">
        <v>0</v>
      </c>
      <c r="O416" s="132">
        <v>1808.8280023108123</v>
      </c>
      <c r="P416" s="133">
        <v>1</v>
      </c>
    </row>
    <row r="417" spans="1:16" ht="20.25" customHeight="1">
      <c r="A417" s="63">
        <v>413</v>
      </c>
      <c r="B417" s="63">
        <v>9</v>
      </c>
      <c r="C417" s="64" t="s">
        <v>60</v>
      </c>
      <c r="D417" s="131" t="s">
        <v>802</v>
      </c>
      <c r="E417" s="66">
        <v>2035.3319146628191</v>
      </c>
      <c r="F417" s="67" t="s">
        <v>123</v>
      </c>
      <c r="G417" s="68"/>
      <c r="H417" s="72" t="s">
        <v>116</v>
      </c>
      <c r="I417" s="88" t="s">
        <v>803</v>
      </c>
      <c r="J417" s="132">
        <v>2035.3319146628191</v>
      </c>
      <c r="K417" s="132"/>
      <c r="L417" s="133">
        <v>0</v>
      </c>
      <c r="M417" s="132"/>
      <c r="N417" s="134">
        <v>0</v>
      </c>
      <c r="O417" s="132">
        <v>2035.3319146628191</v>
      </c>
      <c r="P417" s="133">
        <v>1</v>
      </c>
    </row>
    <row r="418" spans="1:16" ht="20.25" customHeight="1">
      <c r="A418" s="63">
        <v>414</v>
      </c>
      <c r="B418" s="92">
        <v>10</v>
      </c>
      <c r="C418" s="62" t="s">
        <v>60</v>
      </c>
      <c r="D418" s="131" t="s">
        <v>804</v>
      </c>
      <c r="E418" s="66">
        <v>1569.7954295671573</v>
      </c>
      <c r="F418" s="74" t="s">
        <v>91</v>
      </c>
      <c r="G418" s="68">
        <v>1307.21</v>
      </c>
      <c r="H418" s="72" t="s">
        <v>126</v>
      </c>
      <c r="I418" s="88" t="s">
        <v>805</v>
      </c>
      <c r="J418" s="132">
        <v>1569.7954295671573</v>
      </c>
      <c r="K418" s="132">
        <v>1307.21</v>
      </c>
      <c r="L418" s="133">
        <v>0.8327263383359701</v>
      </c>
      <c r="M418" s="132">
        <v>726</v>
      </c>
      <c r="N418" s="134">
        <v>0.46248064322634791</v>
      </c>
      <c r="O418" s="132">
        <v>843.79542956715727</v>
      </c>
      <c r="P418" s="133">
        <v>0.53751935677365215</v>
      </c>
    </row>
    <row r="419" spans="1:16" ht="20.25" customHeight="1">
      <c r="A419" s="63">
        <v>415</v>
      </c>
      <c r="B419" s="63">
        <v>11</v>
      </c>
      <c r="C419" s="64" t="s">
        <v>60</v>
      </c>
      <c r="D419" s="131" t="s">
        <v>806</v>
      </c>
      <c r="E419" s="66">
        <v>865.38144529535646</v>
      </c>
      <c r="F419" s="67" t="s">
        <v>104</v>
      </c>
      <c r="G419" s="68">
        <v>305.07</v>
      </c>
      <c r="H419" s="72" t="s">
        <v>126</v>
      </c>
      <c r="I419" s="88" t="s">
        <v>542</v>
      </c>
      <c r="J419" s="132">
        <v>865.38144529535646</v>
      </c>
      <c r="K419" s="132">
        <v>305.07</v>
      </c>
      <c r="L419" s="133">
        <v>0.35252662471389018</v>
      </c>
      <c r="M419" s="132"/>
      <c r="N419" s="134">
        <v>0</v>
      </c>
      <c r="O419" s="132">
        <v>865.38144529535646</v>
      </c>
      <c r="P419" s="133">
        <v>1</v>
      </c>
    </row>
    <row r="420" spans="1:16" ht="20.25" customHeight="1">
      <c r="A420" s="63">
        <v>416</v>
      </c>
      <c r="B420" s="63">
        <v>12</v>
      </c>
      <c r="C420" s="64" t="s">
        <v>60</v>
      </c>
      <c r="D420" s="131" t="s">
        <v>807</v>
      </c>
      <c r="E420" s="66">
        <v>30655.024348713094</v>
      </c>
      <c r="F420" s="74" t="s">
        <v>91</v>
      </c>
      <c r="G420" s="68">
        <v>22053</v>
      </c>
      <c r="H420" s="72" t="s">
        <v>97</v>
      </c>
      <c r="I420" s="88" t="s">
        <v>808</v>
      </c>
      <c r="J420" s="132">
        <v>30655.024348713094</v>
      </c>
      <c r="K420" s="132">
        <v>22053</v>
      </c>
      <c r="L420" s="133">
        <v>0.7193926760304723</v>
      </c>
      <c r="M420" s="132">
        <v>17402.21</v>
      </c>
      <c r="N420" s="134">
        <v>0.56767888363235142</v>
      </c>
      <c r="O420" s="132">
        <v>13252.814348713095</v>
      </c>
      <c r="P420" s="133">
        <v>0.43232111636764858</v>
      </c>
    </row>
    <row r="421" spans="1:16" ht="20.25" customHeight="1">
      <c r="A421" s="63">
        <v>417</v>
      </c>
      <c r="B421" s="63">
        <v>14</v>
      </c>
      <c r="C421" s="64" t="s">
        <v>60</v>
      </c>
      <c r="D421" s="131" t="s">
        <v>809</v>
      </c>
      <c r="E421" s="66">
        <v>23394.354736221489</v>
      </c>
      <c r="F421" s="67" t="s">
        <v>91</v>
      </c>
      <c r="G421" s="68">
        <v>21991.120000000003</v>
      </c>
      <c r="H421" s="72" t="s">
        <v>97</v>
      </c>
      <c r="I421" s="88" t="s">
        <v>810</v>
      </c>
      <c r="J421" s="132">
        <v>23394.354736221489</v>
      </c>
      <c r="K421" s="132">
        <v>21991.120000000003</v>
      </c>
      <c r="L421" s="133">
        <v>0.94001823294365727</v>
      </c>
      <c r="M421" s="132">
        <v>20274.861729054799</v>
      </c>
      <c r="N421" s="134">
        <v>0.86665616374805254</v>
      </c>
      <c r="O421" s="132">
        <v>3119.4930071666895</v>
      </c>
      <c r="P421" s="133">
        <v>0.13334383625194746</v>
      </c>
    </row>
    <row r="422" spans="1:16" ht="20.25" customHeight="1">
      <c r="A422" s="63">
        <v>418</v>
      </c>
      <c r="B422" s="63">
        <v>13</v>
      </c>
      <c r="C422" s="64" t="s">
        <v>60</v>
      </c>
      <c r="D422" s="131" t="s">
        <v>811</v>
      </c>
      <c r="E422" s="66">
        <v>27873.692403114921</v>
      </c>
      <c r="F422" s="74" t="s">
        <v>91</v>
      </c>
      <c r="G422" s="68">
        <v>27911</v>
      </c>
      <c r="H422" s="72" t="s">
        <v>116</v>
      </c>
      <c r="I422" s="88" t="s">
        <v>183</v>
      </c>
      <c r="J422" s="132">
        <v>27873.692403114921</v>
      </c>
      <c r="K422" s="132">
        <v>27911</v>
      </c>
      <c r="L422" s="133">
        <v>1.0013384519117714</v>
      </c>
      <c r="M422" s="132">
        <v>25912.6901</v>
      </c>
      <c r="N422" s="134">
        <v>0.92964684137449349</v>
      </c>
      <c r="O422" s="132">
        <v>1961.0023031149212</v>
      </c>
      <c r="P422" s="133">
        <v>7.0353158625506562E-2</v>
      </c>
    </row>
    <row r="423" spans="1:16" ht="20.25" customHeight="1">
      <c r="A423" s="63">
        <v>419</v>
      </c>
      <c r="B423" s="63">
        <v>15</v>
      </c>
      <c r="C423" s="64" t="s">
        <v>60</v>
      </c>
      <c r="D423" s="131" t="s">
        <v>812</v>
      </c>
      <c r="E423" s="66">
        <v>26204.579415244989</v>
      </c>
      <c r="F423" s="67" t="s">
        <v>91</v>
      </c>
      <c r="G423" s="68">
        <v>23019</v>
      </c>
      <c r="H423" s="72" t="s">
        <v>116</v>
      </c>
      <c r="I423" s="88" t="s">
        <v>387</v>
      </c>
      <c r="J423" s="132">
        <v>26204.579415244989</v>
      </c>
      <c r="K423" s="132">
        <v>23019</v>
      </c>
      <c r="L423" s="133">
        <v>0.87843424751203136</v>
      </c>
      <c r="M423" s="132">
        <v>20776.333758000001</v>
      </c>
      <c r="N423" s="134">
        <v>0.79285125812448609</v>
      </c>
      <c r="O423" s="132">
        <v>5428.2456572449883</v>
      </c>
      <c r="P423" s="133">
        <v>0.20714874187551385</v>
      </c>
    </row>
    <row r="424" spans="1:16" ht="20.25" customHeight="1">
      <c r="A424" s="63">
        <v>420</v>
      </c>
      <c r="B424" s="63">
        <v>16</v>
      </c>
      <c r="C424" s="64" t="s">
        <v>60</v>
      </c>
      <c r="D424" s="131" t="s">
        <v>813</v>
      </c>
      <c r="E424" s="66">
        <v>16819.369016365061</v>
      </c>
      <c r="F424" s="74" t="s">
        <v>91</v>
      </c>
      <c r="G424" s="68">
        <v>26652.97</v>
      </c>
      <c r="H424" s="72" t="s">
        <v>97</v>
      </c>
      <c r="I424" s="88" t="s">
        <v>814</v>
      </c>
      <c r="J424" s="132">
        <v>16819.369016365061</v>
      </c>
      <c r="K424" s="132">
        <v>26652.97</v>
      </c>
      <c r="L424" s="133">
        <v>1.5846593278301317</v>
      </c>
      <c r="M424" s="132">
        <v>12735.721352943232</v>
      </c>
      <c r="N424" s="134">
        <v>0.75720565620217473</v>
      </c>
      <c r="O424" s="132">
        <v>4083.6476634218288</v>
      </c>
      <c r="P424" s="133">
        <v>0.24279434379782527</v>
      </c>
    </row>
    <row r="425" spans="1:16" ht="20.25" customHeight="1">
      <c r="A425" s="63">
        <v>421</v>
      </c>
      <c r="B425" s="63">
        <v>17</v>
      </c>
      <c r="C425" s="64" t="s">
        <v>60</v>
      </c>
      <c r="D425" s="131" t="s">
        <v>815</v>
      </c>
      <c r="E425" s="66">
        <v>48810.775403389365</v>
      </c>
      <c r="F425" s="67" t="s">
        <v>91</v>
      </c>
      <c r="G425" s="68">
        <v>45907.92</v>
      </c>
      <c r="H425" s="72" t="s">
        <v>97</v>
      </c>
      <c r="I425" s="88" t="s">
        <v>816</v>
      </c>
      <c r="J425" s="132">
        <v>48810.775403389365</v>
      </c>
      <c r="K425" s="132">
        <v>45907.92</v>
      </c>
      <c r="L425" s="133">
        <v>0.94052838990163234</v>
      </c>
      <c r="M425" s="132">
        <v>44331.788345950641</v>
      </c>
      <c r="N425" s="134">
        <v>0.90823774012146286</v>
      </c>
      <c r="O425" s="132">
        <v>4478.9870574387242</v>
      </c>
      <c r="P425" s="133">
        <v>9.1762259878537158E-2</v>
      </c>
    </row>
    <row r="426" spans="1:16" ht="20.25" customHeight="1">
      <c r="A426" s="63">
        <v>422</v>
      </c>
      <c r="B426" s="63">
        <v>18</v>
      </c>
      <c r="C426" s="64" t="s">
        <v>60</v>
      </c>
      <c r="D426" s="131" t="s">
        <v>817</v>
      </c>
      <c r="E426" s="66">
        <v>48830.979374159411</v>
      </c>
      <c r="F426" s="74" t="s">
        <v>91</v>
      </c>
      <c r="G426" s="68">
        <v>50678.73</v>
      </c>
      <c r="H426" s="72" t="s">
        <v>92</v>
      </c>
      <c r="I426" s="88" t="s">
        <v>818</v>
      </c>
      <c r="J426" s="132">
        <v>48830.979374159411</v>
      </c>
      <c r="K426" s="132">
        <v>50678.73</v>
      </c>
      <c r="L426" s="133">
        <v>1.0378397207986041</v>
      </c>
      <c r="M426" s="132">
        <v>46899.103809430395</v>
      </c>
      <c r="N426" s="134">
        <v>0.96043750116240068</v>
      </c>
      <c r="O426" s="132">
        <v>1931.8755647290163</v>
      </c>
      <c r="P426" s="133">
        <v>3.9562498837599283E-2</v>
      </c>
    </row>
    <row r="427" spans="1:16" ht="20.25" customHeight="1">
      <c r="A427" s="63">
        <v>423</v>
      </c>
      <c r="B427" s="63">
        <v>19</v>
      </c>
      <c r="C427" s="64" t="s">
        <v>60</v>
      </c>
      <c r="D427" s="131" t="s">
        <v>819</v>
      </c>
      <c r="E427" s="66">
        <v>16322.332077681125</v>
      </c>
      <c r="F427" s="67" t="s">
        <v>91</v>
      </c>
      <c r="G427" s="68">
        <v>13593</v>
      </c>
      <c r="H427" s="72" t="s">
        <v>126</v>
      </c>
      <c r="I427" s="88" t="s">
        <v>820</v>
      </c>
      <c r="J427" s="132">
        <v>16322.332077681125</v>
      </c>
      <c r="K427" s="132">
        <v>13593</v>
      </c>
      <c r="L427" s="133">
        <v>0.83278540929741485</v>
      </c>
      <c r="M427" s="132">
        <v>10628</v>
      </c>
      <c r="N427" s="134">
        <v>0.65113244537724746</v>
      </c>
      <c r="O427" s="132">
        <v>5694.3320776811252</v>
      </c>
      <c r="P427" s="133">
        <v>0.34886755462275248</v>
      </c>
    </row>
    <row r="428" spans="1:16" ht="20.25" customHeight="1">
      <c r="A428" s="63">
        <v>424</v>
      </c>
      <c r="B428" s="63">
        <v>20</v>
      </c>
      <c r="C428" s="64" t="s">
        <v>60</v>
      </c>
      <c r="D428" s="131" t="s">
        <v>821</v>
      </c>
      <c r="E428" s="66">
        <v>28355.11744899302</v>
      </c>
      <c r="F428" s="74" t="s">
        <v>91</v>
      </c>
      <c r="G428" s="68">
        <v>33615</v>
      </c>
      <c r="H428" s="72" t="s">
        <v>97</v>
      </c>
      <c r="I428" s="88" t="s">
        <v>822</v>
      </c>
      <c r="J428" s="132">
        <v>28355.11744899302</v>
      </c>
      <c r="K428" s="132">
        <v>33615</v>
      </c>
      <c r="L428" s="133">
        <v>1.1855002914542248</v>
      </c>
      <c r="M428" s="132">
        <v>27897</v>
      </c>
      <c r="N428" s="134">
        <v>0.98384357074813356</v>
      </c>
      <c r="O428" s="132">
        <v>458.11744899301993</v>
      </c>
      <c r="P428" s="133">
        <v>1.6156429251866462E-2</v>
      </c>
    </row>
    <row r="429" spans="1:16" ht="20.25" customHeight="1">
      <c r="A429" s="63">
        <v>425</v>
      </c>
      <c r="B429" s="63">
        <v>21</v>
      </c>
      <c r="C429" s="64" t="s">
        <v>60</v>
      </c>
      <c r="D429" s="131" t="s">
        <v>823</v>
      </c>
      <c r="E429" s="66">
        <v>17182.258027413838</v>
      </c>
      <c r="F429" s="67" t="s">
        <v>91</v>
      </c>
      <c r="G429" s="68">
        <v>16968.96</v>
      </c>
      <c r="H429" s="72" t="s">
        <v>97</v>
      </c>
      <c r="I429" s="88" t="s">
        <v>824</v>
      </c>
      <c r="J429" s="132">
        <v>17182.258027413838</v>
      </c>
      <c r="K429" s="132">
        <v>16968.96</v>
      </c>
      <c r="L429" s="133">
        <v>0.98758614688048985</v>
      </c>
      <c r="M429" s="132">
        <v>15720.102711912699</v>
      </c>
      <c r="N429" s="134">
        <v>0.91490319181749524</v>
      </c>
      <c r="O429" s="132">
        <v>1462.1553155011388</v>
      </c>
      <c r="P429" s="133">
        <v>8.5096808182504813E-2</v>
      </c>
    </row>
    <row r="430" spans="1:16" ht="20.25" customHeight="1">
      <c r="A430" s="63">
        <v>426</v>
      </c>
      <c r="B430" s="63">
        <v>22</v>
      </c>
      <c r="C430" s="64" t="s">
        <v>60</v>
      </c>
      <c r="D430" s="131" t="s">
        <v>825</v>
      </c>
      <c r="E430" s="66">
        <v>14392.265329278842</v>
      </c>
      <c r="F430" s="74" t="s">
        <v>91</v>
      </c>
      <c r="G430" s="68">
        <v>13440.2</v>
      </c>
      <c r="H430" s="72" t="s">
        <v>97</v>
      </c>
      <c r="I430" s="88" t="s">
        <v>826</v>
      </c>
      <c r="J430" s="132">
        <v>14392.265329278842</v>
      </c>
      <c r="K430" s="132">
        <v>13440.2</v>
      </c>
      <c r="L430" s="133">
        <v>0.93384882035616645</v>
      </c>
      <c r="M430" s="132">
        <v>12612</v>
      </c>
      <c r="N430" s="134">
        <v>0.87630402243508065</v>
      </c>
      <c r="O430" s="132">
        <v>1780.2653292788418</v>
      </c>
      <c r="P430" s="133">
        <v>0.12369597756491932</v>
      </c>
    </row>
    <row r="431" spans="1:16" ht="20.25" customHeight="1">
      <c r="A431" s="63">
        <v>427</v>
      </c>
      <c r="B431" s="63">
        <v>23</v>
      </c>
      <c r="C431" s="64" t="s">
        <v>60</v>
      </c>
      <c r="D431" s="131" t="s">
        <v>827</v>
      </c>
      <c r="E431" s="66">
        <v>16047.261856132274</v>
      </c>
      <c r="F431" s="67" t="s">
        <v>91</v>
      </c>
      <c r="G431" s="68">
        <v>10960</v>
      </c>
      <c r="H431" s="72" t="s">
        <v>116</v>
      </c>
      <c r="I431" s="88" t="s">
        <v>828</v>
      </c>
      <c r="J431" s="132">
        <v>16047.261856132274</v>
      </c>
      <c r="K431" s="132">
        <v>10960</v>
      </c>
      <c r="L431" s="133">
        <v>0.682982561028738</v>
      </c>
      <c r="M431" s="135">
        <v>13095.973296102</v>
      </c>
      <c r="N431" s="134">
        <v>0.81608771723865936</v>
      </c>
      <c r="O431" s="132">
        <v>2951.2885600302743</v>
      </c>
      <c r="P431" s="133">
        <v>0.18391228276134061</v>
      </c>
    </row>
    <row r="432" spans="1:16" ht="20.25" customHeight="1">
      <c r="A432" s="63">
        <v>428</v>
      </c>
      <c r="B432" s="63">
        <v>24</v>
      </c>
      <c r="C432" s="64" t="s">
        <v>60</v>
      </c>
      <c r="D432" s="131" t="s">
        <v>829</v>
      </c>
      <c r="E432" s="66">
        <v>101325.56488263552</v>
      </c>
      <c r="F432" s="74" t="s">
        <v>91</v>
      </c>
      <c r="G432" s="68">
        <v>99750.319999999992</v>
      </c>
      <c r="H432" s="72" t="s">
        <v>97</v>
      </c>
      <c r="I432" s="88" t="s">
        <v>830</v>
      </c>
      <c r="J432" s="132">
        <v>101325.56488263552</v>
      </c>
      <c r="K432" s="132">
        <v>99750.319999999992</v>
      </c>
      <c r="L432" s="133">
        <v>0.98445362841588779</v>
      </c>
      <c r="M432" s="132">
        <v>99097.069209177454</v>
      </c>
      <c r="N432" s="134">
        <v>0.97800658031327725</v>
      </c>
      <c r="O432" s="132">
        <v>2228.4956734580628</v>
      </c>
      <c r="P432" s="133">
        <v>2.1993419686722783E-2</v>
      </c>
    </row>
    <row r="433" spans="1:16" ht="20.25" customHeight="1">
      <c r="A433" s="63">
        <v>429</v>
      </c>
      <c r="B433" s="63">
        <v>1</v>
      </c>
      <c r="C433" s="62" t="s">
        <v>61</v>
      </c>
      <c r="D433" s="131" t="s">
        <v>831</v>
      </c>
      <c r="E433" s="66">
        <v>10043.823357026915</v>
      </c>
      <c r="F433" s="67" t="s">
        <v>91</v>
      </c>
      <c r="G433" s="68">
        <v>12723</v>
      </c>
      <c r="H433" s="72" t="s">
        <v>126</v>
      </c>
      <c r="I433" s="88" t="s">
        <v>461</v>
      </c>
      <c r="J433" s="132">
        <v>10043.823357026915</v>
      </c>
      <c r="K433" s="132">
        <v>12723</v>
      </c>
      <c r="L433" s="133">
        <v>1.2667486820244269</v>
      </c>
      <c r="M433" s="132">
        <v>10043.823348870499</v>
      </c>
      <c r="N433" s="134">
        <v>0.99999999918791727</v>
      </c>
      <c r="O433" s="132">
        <v>8.1564157881075516E-6</v>
      </c>
      <c r="P433" s="133">
        <v>8.1208275954008245E-10</v>
      </c>
    </row>
    <row r="434" spans="1:16" ht="20.25" customHeight="1">
      <c r="A434" s="63">
        <v>430</v>
      </c>
      <c r="B434" s="63">
        <v>2</v>
      </c>
      <c r="C434" s="62" t="s">
        <v>61</v>
      </c>
      <c r="D434" s="131" t="s">
        <v>832</v>
      </c>
      <c r="E434" s="66">
        <v>1369.0002596838744</v>
      </c>
      <c r="F434" s="74" t="s">
        <v>104</v>
      </c>
      <c r="G434" s="68">
        <v>1128</v>
      </c>
      <c r="H434" s="72" t="s">
        <v>126</v>
      </c>
      <c r="I434" s="88" t="s">
        <v>833</v>
      </c>
      <c r="J434" s="132">
        <v>1369.0002596838744</v>
      </c>
      <c r="K434" s="132">
        <v>1128</v>
      </c>
      <c r="L434" s="133">
        <v>0.82395893793363817</v>
      </c>
      <c r="M434" s="132"/>
      <c r="N434" s="134">
        <v>0</v>
      </c>
      <c r="O434" s="132">
        <v>1369.0002596838744</v>
      </c>
      <c r="P434" s="133">
        <v>1</v>
      </c>
    </row>
    <row r="435" spans="1:16" ht="20.25" customHeight="1">
      <c r="A435" s="63">
        <v>431</v>
      </c>
      <c r="B435" s="63">
        <v>3</v>
      </c>
      <c r="C435" s="62" t="s">
        <v>61</v>
      </c>
      <c r="D435" s="131" t="s">
        <v>834</v>
      </c>
      <c r="E435" s="66">
        <v>0</v>
      </c>
      <c r="F435" s="67" t="s">
        <v>91</v>
      </c>
      <c r="G435" s="68">
        <v>1829.74</v>
      </c>
      <c r="H435" s="72" t="s">
        <v>92</v>
      </c>
      <c r="I435" s="88" t="s">
        <v>835</v>
      </c>
      <c r="J435" s="132">
        <v>0</v>
      </c>
      <c r="K435" s="132">
        <v>1829.74</v>
      </c>
      <c r="L435" s="133" t="s">
        <v>394</v>
      </c>
      <c r="M435" s="135">
        <v>0</v>
      </c>
      <c r="N435" s="134" t="s">
        <v>394</v>
      </c>
      <c r="O435" s="132">
        <v>0</v>
      </c>
      <c r="P435" s="133" t="s">
        <v>394</v>
      </c>
    </row>
    <row r="436" spans="1:16" ht="20.25" customHeight="1">
      <c r="A436" s="63">
        <v>432</v>
      </c>
      <c r="B436" s="63">
        <v>4</v>
      </c>
      <c r="C436" s="62" t="s">
        <v>61</v>
      </c>
      <c r="D436" s="131" t="s">
        <v>836</v>
      </c>
      <c r="E436" s="66">
        <v>0</v>
      </c>
      <c r="F436" s="74" t="s">
        <v>104</v>
      </c>
      <c r="G436" s="68">
        <v>32331.83</v>
      </c>
      <c r="H436" s="72" t="s">
        <v>126</v>
      </c>
      <c r="I436" s="88" t="s">
        <v>837</v>
      </c>
      <c r="J436" s="132">
        <v>0</v>
      </c>
      <c r="K436" s="132">
        <v>32331.83</v>
      </c>
      <c r="L436" s="133" t="s">
        <v>394</v>
      </c>
      <c r="M436" s="132"/>
      <c r="N436" s="134" t="s">
        <v>394</v>
      </c>
      <c r="O436" s="132">
        <v>0</v>
      </c>
      <c r="P436" s="133" t="s">
        <v>394</v>
      </c>
    </row>
    <row r="437" spans="1:16" ht="20.25" customHeight="1">
      <c r="A437" s="63">
        <v>433</v>
      </c>
      <c r="B437" s="63">
        <v>5</v>
      </c>
      <c r="C437" s="62" t="s">
        <v>61</v>
      </c>
      <c r="D437" s="131" t="s">
        <v>838</v>
      </c>
      <c r="E437" s="66">
        <v>992.26889610267153</v>
      </c>
      <c r="F437" s="67" t="s">
        <v>91</v>
      </c>
      <c r="G437" s="68">
        <v>3135</v>
      </c>
      <c r="H437" s="72" t="s">
        <v>126</v>
      </c>
      <c r="I437" s="88" t="s">
        <v>833</v>
      </c>
      <c r="J437" s="132">
        <v>992.26889610267153</v>
      </c>
      <c r="K437" s="132">
        <v>3135</v>
      </c>
      <c r="L437" s="133">
        <v>3.1594258494983771</v>
      </c>
      <c r="M437" s="132">
        <v>992.05680403564099</v>
      </c>
      <c r="N437" s="134">
        <v>0.99978625545165878</v>
      </c>
      <c r="O437" s="132">
        <v>0.21209206703053951</v>
      </c>
      <c r="P437" s="133">
        <v>2.137445483412533E-4</v>
      </c>
    </row>
    <row r="438" spans="1:16" ht="20.25" customHeight="1">
      <c r="A438" s="63">
        <v>434</v>
      </c>
      <c r="B438" s="63">
        <v>6</v>
      </c>
      <c r="C438" s="62" t="s">
        <v>61</v>
      </c>
      <c r="D438" s="131" t="s">
        <v>839</v>
      </c>
      <c r="E438" s="66">
        <v>7738.3022160144392</v>
      </c>
      <c r="F438" s="74" t="s">
        <v>104</v>
      </c>
      <c r="G438" s="68">
        <v>9744</v>
      </c>
      <c r="H438" s="72" t="s">
        <v>116</v>
      </c>
      <c r="I438" s="88" t="s">
        <v>267</v>
      </c>
      <c r="J438" s="132">
        <v>7738.3022160144392</v>
      </c>
      <c r="K438" s="132">
        <v>9744</v>
      </c>
      <c r="L438" s="133">
        <v>1.2591909346516299</v>
      </c>
      <c r="M438" s="132"/>
      <c r="N438" s="134">
        <v>0</v>
      </c>
      <c r="O438" s="132">
        <v>7738.3022160144392</v>
      </c>
      <c r="P438" s="133">
        <v>1</v>
      </c>
    </row>
    <row r="439" spans="1:16" ht="20.25" customHeight="1">
      <c r="A439" s="63">
        <v>435</v>
      </c>
      <c r="B439" s="63">
        <v>7</v>
      </c>
      <c r="C439" s="62" t="s">
        <v>61</v>
      </c>
      <c r="D439" s="131" t="s">
        <v>840</v>
      </c>
      <c r="E439" s="66">
        <v>11244.037929703743</v>
      </c>
      <c r="F439" s="67" t="s">
        <v>123</v>
      </c>
      <c r="G439" s="68">
        <v>0</v>
      </c>
      <c r="H439" s="72" t="s">
        <v>126</v>
      </c>
      <c r="I439" s="88" t="s">
        <v>841</v>
      </c>
      <c r="J439" s="132">
        <v>11244.037929703743</v>
      </c>
      <c r="K439" s="132">
        <v>0</v>
      </c>
      <c r="L439" s="133">
        <v>0</v>
      </c>
      <c r="M439" s="132"/>
      <c r="N439" s="134">
        <v>0</v>
      </c>
      <c r="O439" s="132">
        <v>11244.037929703743</v>
      </c>
      <c r="P439" s="133">
        <v>1</v>
      </c>
    </row>
    <row r="440" spans="1:16" ht="20.25" customHeight="1">
      <c r="A440" s="63">
        <v>436</v>
      </c>
      <c r="B440" s="63">
        <v>8</v>
      </c>
      <c r="C440" s="62" t="s">
        <v>61</v>
      </c>
      <c r="D440" s="131" t="s">
        <v>842</v>
      </c>
      <c r="E440" s="66">
        <v>1125.6082973963007</v>
      </c>
      <c r="F440" s="74" t="s">
        <v>104</v>
      </c>
      <c r="G440" s="68">
        <v>9466.69</v>
      </c>
      <c r="H440" s="72" t="s">
        <v>116</v>
      </c>
      <c r="I440" s="88" t="s">
        <v>843</v>
      </c>
      <c r="J440" s="132">
        <v>1125.6082973963007</v>
      </c>
      <c r="K440" s="132">
        <v>9466.69</v>
      </c>
      <c r="L440" s="133">
        <v>8.4102880388300818</v>
      </c>
      <c r="M440" s="132"/>
      <c r="N440" s="134">
        <v>0</v>
      </c>
      <c r="O440" s="132">
        <v>1125.6082973963007</v>
      </c>
      <c r="P440" s="133">
        <v>1</v>
      </c>
    </row>
    <row r="441" spans="1:16" ht="20.25" customHeight="1">
      <c r="A441" s="63">
        <v>437</v>
      </c>
      <c r="B441" s="63">
        <v>9</v>
      </c>
      <c r="C441" s="62" t="s">
        <v>61</v>
      </c>
      <c r="D441" s="131" t="s">
        <v>844</v>
      </c>
      <c r="E441" s="66">
        <v>27250.831403265976</v>
      </c>
      <c r="F441" s="67" t="s">
        <v>91</v>
      </c>
      <c r="G441" s="68">
        <v>80665.549999999988</v>
      </c>
      <c r="H441" s="72" t="s">
        <v>97</v>
      </c>
      <c r="I441" s="88" t="s">
        <v>845</v>
      </c>
      <c r="J441" s="132">
        <v>27250.831403265976</v>
      </c>
      <c r="K441" s="132">
        <v>80665.549999999988</v>
      </c>
      <c r="L441" s="133">
        <v>2.9601133560399311</v>
      </c>
      <c r="M441" s="132">
        <v>25497</v>
      </c>
      <c r="N441" s="134">
        <v>0.93564117816031911</v>
      </c>
      <c r="O441" s="132">
        <v>1753.8314032659764</v>
      </c>
      <c r="P441" s="133">
        <v>6.4358821839680905E-2</v>
      </c>
    </row>
    <row r="442" spans="1:16" ht="20.25" customHeight="1">
      <c r="A442" s="63">
        <v>438</v>
      </c>
      <c r="B442" s="63">
        <v>10</v>
      </c>
      <c r="C442" s="62" t="s">
        <v>61</v>
      </c>
      <c r="D442" s="131" t="s">
        <v>846</v>
      </c>
      <c r="E442" s="66">
        <v>252.47201489846401</v>
      </c>
      <c r="F442" s="74" t="s">
        <v>104</v>
      </c>
      <c r="G442" s="68">
        <v>1909</v>
      </c>
      <c r="H442" s="72" t="s">
        <v>116</v>
      </c>
      <c r="I442" s="88" t="s">
        <v>243</v>
      </c>
      <c r="J442" s="132">
        <v>252.47201489846401</v>
      </c>
      <c r="K442" s="132">
        <v>1909</v>
      </c>
      <c r="L442" s="133">
        <v>7.5612340669429736</v>
      </c>
      <c r="M442" s="132"/>
      <c r="N442" s="134">
        <v>0</v>
      </c>
      <c r="O442" s="132">
        <v>252.47201489846401</v>
      </c>
      <c r="P442" s="133">
        <v>1</v>
      </c>
    </row>
    <row r="443" spans="1:16" ht="20.25" customHeight="1">
      <c r="A443" s="63">
        <v>439</v>
      </c>
      <c r="B443" s="63">
        <v>11</v>
      </c>
      <c r="C443" s="62" t="s">
        <v>61</v>
      </c>
      <c r="D443" s="131" t="s">
        <v>847</v>
      </c>
      <c r="E443" s="66">
        <v>16782.309326846615</v>
      </c>
      <c r="F443" s="67" t="s">
        <v>91</v>
      </c>
      <c r="G443" s="68">
        <v>27707</v>
      </c>
      <c r="H443" s="72" t="s">
        <v>116</v>
      </c>
      <c r="I443" s="88" t="s">
        <v>848</v>
      </c>
      <c r="J443" s="132">
        <v>16782.309326846615</v>
      </c>
      <c r="K443" s="132">
        <v>27707</v>
      </c>
      <c r="L443" s="133">
        <v>1.6509646831307767</v>
      </c>
      <c r="M443" s="132">
        <v>11873</v>
      </c>
      <c r="N443" s="134">
        <v>0.70747116912013974</v>
      </c>
      <c r="O443" s="132">
        <v>4909.3093268466146</v>
      </c>
      <c r="P443" s="133">
        <v>0.29252883087986026</v>
      </c>
    </row>
    <row r="444" spans="1:16" ht="20.25" customHeight="1">
      <c r="A444" s="63">
        <v>440</v>
      </c>
      <c r="B444" s="63">
        <v>12</v>
      </c>
      <c r="C444" s="62" t="s">
        <v>61</v>
      </c>
      <c r="D444" s="131" t="s">
        <v>849</v>
      </c>
      <c r="E444" s="66">
        <v>1673.191647782696</v>
      </c>
      <c r="F444" s="74" t="s">
        <v>104</v>
      </c>
      <c r="G444" s="68">
        <v>4000</v>
      </c>
      <c r="H444" s="72" t="s">
        <v>116</v>
      </c>
      <c r="I444" s="88" t="s">
        <v>850</v>
      </c>
      <c r="J444" s="132">
        <v>1673.191647782696</v>
      </c>
      <c r="K444" s="132">
        <v>4000</v>
      </c>
      <c r="L444" s="133">
        <v>2.3906406688682535</v>
      </c>
      <c r="M444" s="132"/>
      <c r="N444" s="134">
        <v>0</v>
      </c>
      <c r="O444" s="132">
        <v>1673.191647782696</v>
      </c>
      <c r="P444" s="133">
        <v>1</v>
      </c>
    </row>
    <row r="445" spans="1:16" ht="20.25" customHeight="1">
      <c r="A445" s="63">
        <v>441</v>
      </c>
      <c r="B445" s="63">
        <v>13</v>
      </c>
      <c r="C445" s="62" t="s">
        <v>61</v>
      </c>
      <c r="D445" s="131" t="s">
        <v>851</v>
      </c>
      <c r="E445" s="66">
        <v>1365.5865624316141</v>
      </c>
      <c r="F445" s="67" t="s">
        <v>104</v>
      </c>
      <c r="G445" s="68">
        <v>5500</v>
      </c>
      <c r="H445" s="72" t="s">
        <v>116</v>
      </c>
      <c r="I445" s="88" t="s">
        <v>850</v>
      </c>
      <c r="J445" s="132">
        <v>1365.5865624316141</v>
      </c>
      <c r="K445" s="132">
        <v>5500</v>
      </c>
      <c r="L445" s="133">
        <v>4.0275733163385086</v>
      </c>
      <c r="M445" s="132"/>
      <c r="N445" s="134">
        <v>0</v>
      </c>
      <c r="O445" s="132">
        <v>1365.5865624316141</v>
      </c>
      <c r="P445" s="133">
        <v>1</v>
      </c>
    </row>
    <row r="446" spans="1:16" ht="20.25" customHeight="1">
      <c r="A446" s="63">
        <v>442</v>
      </c>
      <c r="B446" s="63">
        <v>14</v>
      </c>
      <c r="C446" s="62" t="s">
        <v>61</v>
      </c>
      <c r="D446" s="131" t="s">
        <v>852</v>
      </c>
      <c r="E446" s="66">
        <v>238.27634132646998</v>
      </c>
      <c r="F446" s="74" t="s">
        <v>123</v>
      </c>
      <c r="G446" s="68">
        <v>0</v>
      </c>
      <c r="H446" s="72" t="s">
        <v>126</v>
      </c>
      <c r="I446" s="88" t="s">
        <v>763</v>
      </c>
      <c r="J446" s="132">
        <v>238.27634132646998</v>
      </c>
      <c r="K446" s="132">
        <v>0</v>
      </c>
      <c r="L446" s="133">
        <v>0</v>
      </c>
      <c r="M446" s="132"/>
      <c r="N446" s="134">
        <v>0</v>
      </c>
      <c r="O446" s="132">
        <v>238.27634132646998</v>
      </c>
      <c r="P446" s="133">
        <v>1</v>
      </c>
    </row>
    <row r="447" spans="1:16" ht="20.25" customHeight="1">
      <c r="A447" s="63">
        <v>443</v>
      </c>
      <c r="B447" s="63">
        <v>15</v>
      </c>
      <c r="C447" s="62" t="s">
        <v>61</v>
      </c>
      <c r="D447" s="131" t="s">
        <v>853</v>
      </c>
      <c r="E447" s="66">
        <v>822.96237594016497</v>
      </c>
      <c r="F447" s="67" t="s">
        <v>123</v>
      </c>
      <c r="G447" s="68">
        <v>0</v>
      </c>
      <c r="H447" s="72" t="s">
        <v>126</v>
      </c>
      <c r="I447" s="88" t="s">
        <v>161</v>
      </c>
      <c r="J447" s="132">
        <v>822.96237594016497</v>
      </c>
      <c r="K447" s="132">
        <v>0</v>
      </c>
      <c r="L447" s="133">
        <v>0</v>
      </c>
      <c r="M447" s="132"/>
      <c r="N447" s="134">
        <v>0</v>
      </c>
      <c r="O447" s="132">
        <v>822.96237594016497</v>
      </c>
      <c r="P447" s="133">
        <v>1</v>
      </c>
    </row>
    <row r="448" spans="1:16" ht="20.25" customHeight="1">
      <c r="A448" s="63">
        <v>444</v>
      </c>
      <c r="B448" s="63">
        <v>16</v>
      </c>
      <c r="C448" s="62" t="s">
        <v>61</v>
      </c>
      <c r="D448" s="131" t="s">
        <v>855</v>
      </c>
      <c r="E448" s="66">
        <v>1217.9298030451835</v>
      </c>
      <c r="F448" s="74" t="s">
        <v>104</v>
      </c>
      <c r="G448" s="68">
        <v>1587</v>
      </c>
      <c r="H448" s="72" t="s">
        <v>116</v>
      </c>
      <c r="I448" s="88" t="s">
        <v>478</v>
      </c>
      <c r="J448" s="132">
        <v>1217.9298030451835</v>
      </c>
      <c r="K448" s="132">
        <v>1587</v>
      </c>
      <c r="L448" s="133">
        <v>1.30303076255465</v>
      </c>
      <c r="M448" s="132"/>
      <c r="N448" s="134">
        <v>0</v>
      </c>
      <c r="O448" s="132">
        <v>1217.9298030451835</v>
      </c>
      <c r="P448" s="133">
        <v>1</v>
      </c>
    </row>
    <row r="449" spans="1:16" ht="20.25" customHeight="1">
      <c r="A449" s="63">
        <v>445</v>
      </c>
      <c r="B449" s="63">
        <v>17</v>
      </c>
      <c r="C449" s="62" t="s">
        <v>61</v>
      </c>
      <c r="D449" s="131" t="s">
        <v>856</v>
      </c>
      <c r="E449" s="66">
        <v>0</v>
      </c>
      <c r="F449" s="67" t="s">
        <v>104</v>
      </c>
      <c r="G449" s="68">
        <v>16377</v>
      </c>
      <c r="H449" s="72" t="s">
        <v>116</v>
      </c>
      <c r="I449" s="88" t="s">
        <v>682</v>
      </c>
      <c r="J449" s="132">
        <v>0</v>
      </c>
      <c r="K449" s="132">
        <v>16377</v>
      </c>
      <c r="L449" s="133" t="s">
        <v>394</v>
      </c>
      <c r="M449" s="132"/>
      <c r="N449" s="134" t="s">
        <v>394</v>
      </c>
      <c r="O449" s="132">
        <v>0</v>
      </c>
      <c r="P449" s="133" t="s">
        <v>394</v>
      </c>
    </row>
    <row r="450" spans="1:16" ht="20.25" customHeight="1">
      <c r="A450" s="63">
        <v>446</v>
      </c>
      <c r="B450" s="63">
        <v>1</v>
      </c>
      <c r="C450" s="64" t="s">
        <v>62</v>
      </c>
      <c r="D450" s="131" t="s">
        <v>857</v>
      </c>
      <c r="E450" s="84">
        <v>4940.0563431770888</v>
      </c>
      <c r="F450" s="74" t="s">
        <v>91</v>
      </c>
      <c r="G450" s="68">
        <v>10225.92</v>
      </c>
      <c r="H450" s="72" t="s">
        <v>97</v>
      </c>
      <c r="I450" s="88" t="s">
        <v>858</v>
      </c>
      <c r="J450" s="132">
        <v>4940.0563431770888</v>
      </c>
      <c r="K450" s="132">
        <v>10225.92</v>
      </c>
      <c r="L450" s="133">
        <v>2.0700006821022257</v>
      </c>
      <c r="M450" s="132">
        <v>4421</v>
      </c>
      <c r="N450" s="134">
        <v>0.89492906414033546</v>
      </c>
      <c r="O450" s="132">
        <v>519.05634317708882</v>
      </c>
      <c r="P450" s="133">
        <v>0.10507093585966454</v>
      </c>
    </row>
    <row r="451" spans="1:16" ht="20.25" customHeight="1">
      <c r="A451" s="63">
        <v>447</v>
      </c>
      <c r="B451" s="63">
        <v>2</v>
      </c>
      <c r="C451" s="64" t="s">
        <v>62</v>
      </c>
      <c r="D451" s="131" t="s">
        <v>859</v>
      </c>
      <c r="E451" s="66">
        <v>2261.5249059344965</v>
      </c>
      <c r="F451" s="67" t="s">
        <v>91</v>
      </c>
      <c r="G451" s="68">
        <v>2046</v>
      </c>
      <c r="H451" s="72" t="s">
        <v>126</v>
      </c>
      <c r="I451" s="88" t="s">
        <v>860</v>
      </c>
      <c r="J451" s="132">
        <v>2261.5249059344965</v>
      </c>
      <c r="K451" s="132">
        <v>2046</v>
      </c>
      <c r="L451" s="133">
        <v>0.90469930029559487</v>
      </c>
      <c r="M451" s="132">
        <v>1947</v>
      </c>
      <c r="N451" s="134">
        <v>0.86092352770064673</v>
      </c>
      <c r="O451" s="132">
        <v>314.52490593449647</v>
      </c>
      <c r="P451" s="133">
        <v>0.13907647229935324</v>
      </c>
    </row>
    <row r="452" spans="1:16" ht="20.25" customHeight="1">
      <c r="A452" s="63">
        <v>448</v>
      </c>
      <c r="B452" s="63">
        <v>3</v>
      </c>
      <c r="C452" s="64" t="s">
        <v>62</v>
      </c>
      <c r="D452" s="131" t="s">
        <v>62</v>
      </c>
      <c r="E452" s="66">
        <v>15217.78771214886</v>
      </c>
      <c r="F452" s="74" t="s">
        <v>123</v>
      </c>
      <c r="G452" s="68"/>
      <c r="H452" s="72" t="s">
        <v>116</v>
      </c>
      <c r="I452" s="88" t="s">
        <v>861</v>
      </c>
      <c r="J452" s="132">
        <v>15217.78771214886</v>
      </c>
      <c r="K452" s="132"/>
      <c r="L452" s="133">
        <v>0</v>
      </c>
      <c r="M452" s="132"/>
      <c r="N452" s="134">
        <v>0</v>
      </c>
      <c r="O452" s="132">
        <v>15217.78771214886</v>
      </c>
      <c r="P452" s="133">
        <v>1</v>
      </c>
    </row>
    <row r="453" spans="1:16" ht="20.25" customHeight="1">
      <c r="A453" s="63">
        <v>449</v>
      </c>
      <c r="B453" s="63">
        <v>4</v>
      </c>
      <c r="C453" s="64" t="s">
        <v>62</v>
      </c>
      <c r="D453" s="131" t="s">
        <v>862</v>
      </c>
      <c r="E453" s="66">
        <v>4760.9958681069966</v>
      </c>
      <c r="F453" s="67" t="s">
        <v>91</v>
      </c>
      <c r="G453" s="68">
        <v>11115.02</v>
      </c>
      <c r="H453" s="72" t="s">
        <v>97</v>
      </c>
      <c r="I453" s="88" t="s">
        <v>863</v>
      </c>
      <c r="J453" s="132">
        <v>4760.9958681069966</v>
      </c>
      <c r="K453" s="132">
        <v>11115.02</v>
      </c>
      <c r="L453" s="133">
        <v>2.3345997996884225</v>
      </c>
      <c r="M453" s="132">
        <v>4388</v>
      </c>
      <c r="N453" s="134">
        <v>0.92165591434228611</v>
      </c>
      <c r="O453" s="132">
        <v>372.99586810699657</v>
      </c>
      <c r="P453" s="133">
        <v>7.8344085657713919E-2</v>
      </c>
    </row>
    <row r="454" spans="1:16" ht="20.25" customHeight="1">
      <c r="A454" s="63">
        <v>450</v>
      </c>
      <c r="B454" s="63">
        <v>5</v>
      </c>
      <c r="C454" s="64" t="s">
        <v>62</v>
      </c>
      <c r="D454" s="131" t="s">
        <v>864</v>
      </c>
      <c r="E454" s="66">
        <v>1136.0674068317721</v>
      </c>
      <c r="F454" s="74" t="s">
        <v>91</v>
      </c>
      <c r="G454" s="68">
        <v>459</v>
      </c>
      <c r="H454" s="72" t="s">
        <v>116</v>
      </c>
      <c r="I454" s="88" t="s">
        <v>385</v>
      </c>
      <c r="J454" s="132">
        <v>1136.0674068317721</v>
      </c>
      <c r="K454" s="132">
        <v>459</v>
      </c>
      <c r="L454" s="133">
        <v>0.40402532212419007</v>
      </c>
      <c r="M454" s="132">
        <v>250</v>
      </c>
      <c r="N454" s="134">
        <v>0.22005736499138892</v>
      </c>
      <c r="O454" s="132">
        <v>886.06740683177213</v>
      </c>
      <c r="P454" s="133">
        <v>0.77994263500861105</v>
      </c>
    </row>
    <row r="455" spans="1:16" ht="20.25" customHeight="1">
      <c r="A455" s="63">
        <v>451</v>
      </c>
      <c r="B455" s="63">
        <v>6</v>
      </c>
      <c r="C455" s="64" t="s">
        <v>62</v>
      </c>
      <c r="D455" s="131" t="s">
        <v>865</v>
      </c>
      <c r="E455" s="66">
        <v>4739.4620276536725</v>
      </c>
      <c r="F455" s="67" t="s">
        <v>91</v>
      </c>
      <c r="G455" s="68">
        <v>24064.699999999997</v>
      </c>
      <c r="H455" s="72" t="s">
        <v>97</v>
      </c>
      <c r="I455" s="88" t="s">
        <v>866</v>
      </c>
      <c r="J455" s="132">
        <v>4739.4620276536725</v>
      </c>
      <c r="K455" s="132">
        <v>24064.699999999997</v>
      </c>
      <c r="L455" s="133">
        <v>5.0775172075623773</v>
      </c>
      <c r="M455" s="132">
        <v>4296</v>
      </c>
      <c r="N455" s="134">
        <v>0.90643199057906287</v>
      </c>
      <c r="O455" s="132">
        <v>443.46202765367252</v>
      </c>
      <c r="P455" s="133">
        <v>9.3568009420937112E-2</v>
      </c>
    </row>
    <row r="456" spans="1:16" ht="20.25" customHeight="1">
      <c r="A456" s="63">
        <v>452</v>
      </c>
      <c r="B456" s="63">
        <v>1</v>
      </c>
      <c r="C456" s="62" t="s">
        <v>64</v>
      </c>
      <c r="D456" s="131" t="s">
        <v>867</v>
      </c>
      <c r="E456" s="66">
        <v>7327.9536468317128</v>
      </c>
      <c r="F456" s="74" t="s">
        <v>123</v>
      </c>
      <c r="G456" s="68">
        <v>0</v>
      </c>
      <c r="H456" s="72" t="s">
        <v>126</v>
      </c>
      <c r="I456" s="88" t="s">
        <v>868</v>
      </c>
      <c r="J456" s="132">
        <v>7327.9536468317128</v>
      </c>
      <c r="K456" s="132">
        <v>0</v>
      </c>
      <c r="L456" s="133">
        <v>0</v>
      </c>
      <c r="M456" s="132"/>
      <c r="N456" s="134">
        <v>0</v>
      </c>
      <c r="O456" s="132">
        <v>7327.9536468317128</v>
      </c>
      <c r="P456" s="133">
        <v>1</v>
      </c>
    </row>
    <row r="457" spans="1:16" ht="20.25" customHeight="1">
      <c r="A457" s="63">
        <v>453</v>
      </c>
      <c r="B457" s="63">
        <v>2</v>
      </c>
      <c r="C457" s="62" t="s">
        <v>64</v>
      </c>
      <c r="D457" s="131" t="s">
        <v>869</v>
      </c>
      <c r="E457" s="66">
        <v>0</v>
      </c>
      <c r="F457" s="67" t="s">
        <v>123</v>
      </c>
      <c r="G457" s="68"/>
      <c r="H457" s="72" t="s">
        <v>116</v>
      </c>
      <c r="I457" s="88" t="s">
        <v>870</v>
      </c>
      <c r="J457" s="132">
        <v>0</v>
      </c>
      <c r="K457" s="132"/>
      <c r="L457" s="133" t="s">
        <v>394</v>
      </c>
      <c r="M457" s="132"/>
      <c r="N457" s="134" t="s">
        <v>394</v>
      </c>
      <c r="O457" s="132">
        <v>0</v>
      </c>
      <c r="P457" s="133" t="s">
        <v>394</v>
      </c>
    </row>
    <row r="458" spans="1:16" ht="20.25" customHeight="1">
      <c r="A458" s="63">
        <v>454</v>
      </c>
      <c r="B458" s="63">
        <v>3</v>
      </c>
      <c r="C458" s="62" t="s">
        <v>64</v>
      </c>
      <c r="D458" s="131" t="s">
        <v>871</v>
      </c>
      <c r="E458" s="66">
        <v>0</v>
      </c>
      <c r="F458" s="74" t="s">
        <v>104</v>
      </c>
      <c r="G458" s="68">
        <v>1189</v>
      </c>
      <c r="H458" s="72" t="s">
        <v>116</v>
      </c>
      <c r="I458" s="88" t="s">
        <v>828</v>
      </c>
      <c r="J458" s="132">
        <v>0</v>
      </c>
      <c r="K458" s="132">
        <v>1189</v>
      </c>
      <c r="L458" s="133" t="s">
        <v>394</v>
      </c>
      <c r="M458" s="132"/>
      <c r="N458" s="134" t="s">
        <v>394</v>
      </c>
      <c r="O458" s="132">
        <v>0</v>
      </c>
      <c r="P458" s="133" t="s">
        <v>394</v>
      </c>
    </row>
    <row r="459" spans="1:16" ht="20.25" customHeight="1">
      <c r="A459" s="63">
        <v>455</v>
      </c>
      <c r="B459" s="63">
        <v>9</v>
      </c>
      <c r="C459" s="62" t="s">
        <v>64</v>
      </c>
      <c r="D459" s="131" t="s">
        <v>872</v>
      </c>
      <c r="E459" s="66">
        <v>0</v>
      </c>
      <c r="F459" s="67" t="s">
        <v>123</v>
      </c>
      <c r="G459" s="68">
        <v>0</v>
      </c>
      <c r="H459" s="72" t="s">
        <v>126</v>
      </c>
      <c r="I459" s="88" t="s">
        <v>256</v>
      </c>
      <c r="J459" s="132">
        <v>0</v>
      </c>
      <c r="K459" s="132">
        <v>0</v>
      </c>
      <c r="L459" s="133" t="s">
        <v>394</v>
      </c>
      <c r="M459" s="132"/>
      <c r="N459" s="134" t="s">
        <v>394</v>
      </c>
      <c r="O459" s="132">
        <v>0</v>
      </c>
      <c r="P459" s="133" t="s">
        <v>394</v>
      </c>
    </row>
    <row r="460" spans="1:16" ht="20.25" customHeight="1">
      <c r="A460" s="63">
        <v>456</v>
      </c>
      <c r="B460" s="63">
        <v>4</v>
      </c>
      <c r="C460" s="62" t="s">
        <v>64</v>
      </c>
      <c r="D460" s="131" t="s">
        <v>873</v>
      </c>
      <c r="E460" s="66">
        <v>0</v>
      </c>
      <c r="F460" s="74" t="s">
        <v>123</v>
      </c>
      <c r="G460" s="68"/>
      <c r="H460" s="72" t="s">
        <v>116</v>
      </c>
      <c r="I460" s="88" t="s">
        <v>279</v>
      </c>
      <c r="J460" s="132">
        <v>0</v>
      </c>
      <c r="K460" s="132"/>
      <c r="L460" s="133" t="s">
        <v>394</v>
      </c>
      <c r="M460" s="132"/>
      <c r="N460" s="134" t="s">
        <v>394</v>
      </c>
      <c r="O460" s="132">
        <v>0</v>
      </c>
      <c r="P460" s="133" t="s">
        <v>394</v>
      </c>
    </row>
    <row r="461" spans="1:16" ht="20.25" customHeight="1">
      <c r="A461" s="63">
        <v>457</v>
      </c>
      <c r="B461" s="63">
        <v>5</v>
      </c>
      <c r="C461" s="62" t="s">
        <v>64</v>
      </c>
      <c r="D461" s="131" t="s">
        <v>874</v>
      </c>
      <c r="E461" s="66">
        <v>0</v>
      </c>
      <c r="F461" s="67" t="s">
        <v>123</v>
      </c>
      <c r="G461" s="68"/>
      <c r="H461" s="72" t="s">
        <v>116</v>
      </c>
      <c r="I461" s="88" t="s">
        <v>875</v>
      </c>
      <c r="J461" s="132">
        <v>0</v>
      </c>
      <c r="K461" s="132"/>
      <c r="L461" s="133" t="s">
        <v>394</v>
      </c>
      <c r="M461" s="132"/>
      <c r="N461" s="134" t="s">
        <v>394</v>
      </c>
      <c r="O461" s="132">
        <v>0</v>
      </c>
      <c r="P461" s="133" t="s">
        <v>394</v>
      </c>
    </row>
    <row r="462" spans="1:16" ht="20.25" customHeight="1">
      <c r="A462" s="63">
        <v>458</v>
      </c>
      <c r="B462" s="63">
        <v>6</v>
      </c>
      <c r="C462" s="62" t="s">
        <v>64</v>
      </c>
      <c r="D462" s="131" t="s">
        <v>876</v>
      </c>
      <c r="E462" s="66">
        <v>0</v>
      </c>
      <c r="F462" s="74" t="s">
        <v>123</v>
      </c>
      <c r="G462" s="68">
        <v>0</v>
      </c>
      <c r="H462" s="72" t="s">
        <v>126</v>
      </c>
      <c r="I462" s="88" t="s">
        <v>149</v>
      </c>
      <c r="J462" s="132">
        <v>0</v>
      </c>
      <c r="K462" s="132">
        <v>0</v>
      </c>
      <c r="L462" s="133" t="s">
        <v>394</v>
      </c>
      <c r="M462" s="132"/>
      <c r="N462" s="134" t="s">
        <v>394</v>
      </c>
      <c r="O462" s="132">
        <v>0</v>
      </c>
      <c r="P462" s="133" t="s">
        <v>394</v>
      </c>
    </row>
    <row r="463" spans="1:16" ht="20.25" customHeight="1">
      <c r="A463" s="63">
        <v>459</v>
      </c>
      <c r="B463" s="63">
        <v>7</v>
      </c>
      <c r="C463" s="62" t="s">
        <v>64</v>
      </c>
      <c r="D463" s="131" t="s">
        <v>877</v>
      </c>
      <c r="E463" s="66">
        <v>8120.3023945354835</v>
      </c>
      <c r="F463" s="67" t="s">
        <v>104</v>
      </c>
      <c r="G463" s="68">
        <v>15000</v>
      </c>
      <c r="H463" s="72" t="s">
        <v>116</v>
      </c>
      <c r="I463" s="88" t="s">
        <v>315</v>
      </c>
      <c r="J463" s="132">
        <v>8120.3023945354835</v>
      </c>
      <c r="K463" s="132">
        <v>15000</v>
      </c>
      <c r="L463" s="133">
        <v>1.8472218485476815</v>
      </c>
      <c r="M463" s="132"/>
      <c r="N463" s="134">
        <v>0</v>
      </c>
      <c r="O463" s="132">
        <v>8120.3023945354835</v>
      </c>
      <c r="P463" s="133">
        <v>1</v>
      </c>
    </row>
    <row r="464" spans="1:16" ht="20.25" customHeight="1">
      <c r="A464" s="63">
        <v>460</v>
      </c>
      <c r="B464" s="63">
        <v>8</v>
      </c>
      <c r="C464" s="62" t="s">
        <v>64</v>
      </c>
      <c r="D464" s="131" t="s">
        <v>878</v>
      </c>
      <c r="E464" s="66">
        <v>0</v>
      </c>
      <c r="F464" s="74" t="s">
        <v>104</v>
      </c>
      <c r="G464" s="68">
        <v>2840</v>
      </c>
      <c r="H464" s="72" t="s">
        <v>126</v>
      </c>
      <c r="I464" s="88" t="s">
        <v>879</v>
      </c>
      <c r="J464" s="132">
        <v>0</v>
      </c>
      <c r="K464" s="132">
        <v>2840</v>
      </c>
      <c r="L464" s="133" t="s">
        <v>394</v>
      </c>
      <c r="M464" s="132"/>
      <c r="N464" s="134" t="s">
        <v>394</v>
      </c>
      <c r="O464" s="132">
        <v>0</v>
      </c>
      <c r="P464" s="133" t="s">
        <v>394</v>
      </c>
    </row>
    <row r="465" spans="1:16" ht="20.25" customHeight="1">
      <c r="A465" s="63">
        <v>461</v>
      </c>
      <c r="B465" s="63">
        <v>10</v>
      </c>
      <c r="C465" s="62" t="s">
        <v>64</v>
      </c>
      <c r="D465" s="131" t="s">
        <v>880</v>
      </c>
      <c r="E465" s="66">
        <v>988.61403650035447</v>
      </c>
      <c r="F465" s="67" t="s">
        <v>123</v>
      </c>
      <c r="G465" s="68">
        <v>0</v>
      </c>
      <c r="H465" s="72" t="s">
        <v>126</v>
      </c>
      <c r="I465" s="88" t="s">
        <v>837</v>
      </c>
      <c r="J465" s="132">
        <v>988.61403650035447</v>
      </c>
      <c r="K465" s="132">
        <v>0</v>
      </c>
      <c r="L465" s="133">
        <v>0</v>
      </c>
      <c r="M465" s="132"/>
      <c r="N465" s="134">
        <v>0</v>
      </c>
      <c r="O465" s="132">
        <v>988.61403650035447</v>
      </c>
      <c r="P465" s="133">
        <v>1</v>
      </c>
    </row>
    <row r="466" spans="1:16" ht="20.25" customHeight="1">
      <c r="A466" s="63">
        <v>462</v>
      </c>
      <c r="B466" s="63">
        <v>11</v>
      </c>
      <c r="C466" s="62" t="s">
        <v>64</v>
      </c>
      <c r="D466" s="131" t="s">
        <v>881</v>
      </c>
      <c r="E466" s="66">
        <v>1846.5341213579313</v>
      </c>
      <c r="F466" s="74" t="s">
        <v>91</v>
      </c>
      <c r="G466" s="68">
        <v>2440</v>
      </c>
      <c r="H466" s="72" t="s">
        <v>97</v>
      </c>
      <c r="I466" s="88" t="s">
        <v>882</v>
      </c>
      <c r="J466" s="132">
        <v>1846.5341213579313</v>
      </c>
      <c r="K466" s="132">
        <v>2440</v>
      </c>
      <c r="L466" s="133">
        <v>1.3213944826568582</v>
      </c>
      <c r="M466" s="132">
        <v>1393.3517100306301</v>
      </c>
      <c r="N466" s="134">
        <v>0.75457674673564479</v>
      </c>
      <c r="O466" s="132">
        <v>453.18241132730122</v>
      </c>
      <c r="P466" s="133">
        <v>0.24542325326435521</v>
      </c>
    </row>
    <row r="467" spans="1:16" ht="20.25" customHeight="1">
      <c r="A467" s="63">
        <v>463</v>
      </c>
      <c r="B467" s="63">
        <v>1</v>
      </c>
      <c r="C467" s="62" t="s">
        <v>65</v>
      </c>
      <c r="D467" s="131" t="s">
        <v>883</v>
      </c>
      <c r="E467" s="66">
        <v>1128.353817535469</v>
      </c>
      <c r="F467" s="67" t="s">
        <v>104</v>
      </c>
      <c r="G467" s="68">
        <v>16109</v>
      </c>
      <c r="H467" s="72" t="s">
        <v>116</v>
      </c>
      <c r="I467" s="88" t="s">
        <v>884</v>
      </c>
      <c r="J467" s="132">
        <v>1128.353817535469</v>
      </c>
      <c r="K467" s="132">
        <v>16109</v>
      </c>
      <c r="L467" s="133">
        <v>14.276550271425501</v>
      </c>
      <c r="M467" s="132"/>
      <c r="N467" s="134">
        <v>0</v>
      </c>
      <c r="O467" s="132">
        <v>1128.353817535469</v>
      </c>
      <c r="P467" s="133">
        <v>1</v>
      </c>
    </row>
    <row r="468" spans="1:16" ht="20.25" customHeight="1">
      <c r="A468" s="63">
        <v>464</v>
      </c>
      <c r="B468" s="63">
        <v>2</v>
      </c>
      <c r="C468" s="62" t="s">
        <v>65</v>
      </c>
      <c r="D468" s="131" t="s">
        <v>885</v>
      </c>
      <c r="E468" s="66">
        <v>1089.8789091788151</v>
      </c>
      <c r="F468" s="74" t="s">
        <v>104</v>
      </c>
      <c r="G468" s="68">
        <v>9943.9499999999989</v>
      </c>
      <c r="H468" s="72" t="s">
        <v>116</v>
      </c>
      <c r="I468" s="88" t="s">
        <v>850</v>
      </c>
      <c r="J468" s="132">
        <v>1089.8789091788151</v>
      </c>
      <c r="K468" s="132">
        <v>9943.9499999999989</v>
      </c>
      <c r="L468" s="133">
        <v>9.123903505475127</v>
      </c>
      <c r="M468" s="132"/>
      <c r="N468" s="134">
        <v>0</v>
      </c>
      <c r="O468" s="132">
        <v>1089.8789091788151</v>
      </c>
      <c r="P468" s="133">
        <v>1</v>
      </c>
    </row>
    <row r="469" spans="1:16" ht="20.25" customHeight="1">
      <c r="A469" s="63">
        <v>465</v>
      </c>
      <c r="B469" s="63">
        <v>3</v>
      </c>
      <c r="C469" s="62" t="s">
        <v>65</v>
      </c>
      <c r="D469" s="131" t="s">
        <v>886</v>
      </c>
      <c r="E469" s="66">
        <v>1513.2007056730074</v>
      </c>
      <c r="F469" s="67" t="s">
        <v>104</v>
      </c>
      <c r="G469" s="68">
        <v>3609.25</v>
      </c>
      <c r="H469" s="72" t="s">
        <v>116</v>
      </c>
      <c r="I469" s="88" t="s">
        <v>315</v>
      </c>
      <c r="J469" s="132">
        <v>1513.2007056730074</v>
      </c>
      <c r="K469" s="132">
        <v>3609.25</v>
      </c>
      <c r="L469" s="133">
        <v>2.3851759958007412</v>
      </c>
      <c r="M469" s="132"/>
      <c r="N469" s="134">
        <v>0</v>
      </c>
      <c r="O469" s="132">
        <v>1513.2007056730074</v>
      </c>
      <c r="P469" s="133">
        <v>1</v>
      </c>
    </row>
    <row r="470" spans="1:16" ht="20.25" customHeight="1">
      <c r="A470" s="63">
        <v>466</v>
      </c>
      <c r="B470" s="63">
        <v>4</v>
      </c>
      <c r="C470" s="62" t="s">
        <v>65</v>
      </c>
      <c r="D470" s="131" t="s">
        <v>887</v>
      </c>
      <c r="E470" s="66">
        <v>5913.6504879848308</v>
      </c>
      <c r="F470" s="74" t="s">
        <v>91</v>
      </c>
      <c r="G470" s="68">
        <v>2128</v>
      </c>
      <c r="H470" s="72" t="s">
        <v>116</v>
      </c>
      <c r="I470" s="88" t="s">
        <v>323</v>
      </c>
      <c r="J470" s="132">
        <v>5913.6504879848308</v>
      </c>
      <c r="K470" s="132">
        <v>2128</v>
      </c>
      <c r="L470" s="133">
        <v>0.35984541263025327</v>
      </c>
      <c r="M470" s="135"/>
      <c r="N470" s="134">
        <v>0</v>
      </c>
      <c r="O470" s="132">
        <v>5913.6504879848308</v>
      </c>
      <c r="P470" s="133">
        <v>1</v>
      </c>
    </row>
    <row r="471" spans="1:16" ht="20.25" customHeight="1">
      <c r="A471" s="63">
        <v>467</v>
      </c>
      <c r="B471" s="63">
        <v>5</v>
      </c>
      <c r="C471" s="62" t="s">
        <v>65</v>
      </c>
      <c r="D471" s="131" t="s">
        <v>888</v>
      </c>
      <c r="E471" s="66">
        <v>1820.5066075184188</v>
      </c>
      <c r="F471" s="67" t="s">
        <v>91</v>
      </c>
      <c r="G471" s="68">
        <v>1640.66</v>
      </c>
      <c r="H471" s="72" t="s">
        <v>92</v>
      </c>
      <c r="I471" s="88" t="s">
        <v>889</v>
      </c>
      <c r="J471" s="132">
        <v>1820.5066075184188</v>
      </c>
      <c r="K471" s="132">
        <v>1640.66</v>
      </c>
      <c r="L471" s="133">
        <v>0.90121068125999693</v>
      </c>
      <c r="M471" s="132">
        <v>1625</v>
      </c>
      <c r="N471" s="134">
        <v>0.89260868007234584</v>
      </c>
      <c r="O471" s="132">
        <v>195.50660751841883</v>
      </c>
      <c r="P471" s="133">
        <v>0.10739131992765416</v>
      </c>
    </row>
    <row r="472" spans="1:16" ht="20.25" customHeight="1">
      <c r="A472" s="63">
        <v>468</v>
      </c>
      <c r="B472" s="63">
        <v>6</v>
      </c>
      <c r="C472" s="62" t="s">
        <v>65</v>
      </c>
      <c r="D472" s="131" t="s">
        <v>890</v>
      </c>
      <c r="E472" s="66">
        <v>75.132334811553008</v>
      </c>
      <c r="F472" s="74" t="s">
        <v>123</v>
      </c>
      <c r="G472" s="68">
        <v>0</v>
      </c>
      <c r="H472" s="72" t="s">
        <v>116</v>
      </c>
      <c r="I472" s="88" t="s">
        <v>631</v>
      </c>
      <c r="J472" s="132">
        <v>75.132334811553008</v>
      </c>
      <c r="K472" s="132">
        <v>0</v>
      </c>
      <c r="L472" s="133">
        <v>0</v>
      </c>
      <c r="M472" s="132"/>
      <c r="N472" s="134">
        <v>0</v>
      </c>
      <c r="O472" s="132">
        <v>75.132334811553008</v>
      </c>
      <c r="P472" s="133">
        <v>1</v>
      </c>
    </row>
    <row r="473" spans="1:16" ht="20.25" customHeight="1">
      <c r="A473" s="63">
        <v>469</v>
      </c>
      <c r="B473" s="63">
        <v>7</v>
      </c>
      <c r="C473" s="62" t="s">
        <v>65</v>
      </c>
      <c r="D473" s="131" t="s">
        <v>891</v>
      </c>
      <c r="E473" s="66">
        <v>0</v>
      </c>
      <c r="F473" s="67" t="s">
        <v>123</v>
      </c>
      <c r="G473" s="68"/>
      <c r="H473" s="72" t="s">
        <v>116</v>
      </c>
      <c r="I473" s="88" t="s">
        <v>588</v>
      </c>
      <c r="J473" s="132">
        <v>0</v>
      </c>
      <c r="K473" s="132"/>
      <c r="L473" s="133" t="s">
        <v>394</v>
      </c>
      <c r="M473" s="132"/>
      <c r="N473" s="134" t="s">
        <v>394</v>
      </c>
      <c r="O473" s="132">
        <v>0</v>
      </c>
      <c r="P473" s="133" t="s">
        <v>394</v>
      </c>
    </row>
    <row r="474" spans="1:16" ht="20.25" customHeight="1">
      <c r="A474" s="63">
        <v>470</v>
      </c>
      <c r="B474" s="63">
        <v>8</v>
      </c>
      <c r="C474" s="62" t="s">
        <v>65</v>
      </c>
      <c r="D474" s="131" t="s">
        <v>892</v>
      </c>
      <c r="E474" s="66">
        <v>447.91119367512329</v>
      </c>
      <c r="F474" s="74" t="s">
        <v>123</v>
      </c>
      <c r="G474" s="68"/>
      <c r="H474" s="72" t="s">
        <v>116</v>
      </c>
      <c r="I474" s="88" t="s">
        <v>893</v>
      </c>
      <c r="J474" s="132">
        <v>447.91119367512329</v>
      </c>
      <c r="K474" s="132"/>
      <c r="L474" s="133">
        <v>0</v>
      </c>
      <c r="M474" s="132"/>
      <c r="N474" s="134">
        <v>0</v>
      </c>
      <c r="O474" s="132">
        <v>447.91119367512329</v>
      </c>
      <c r="P474" s="133">
        <v>1</v>
      </c>
    </row>
    <row r="475" spans="1:16" ht="20.25" customHeight="1">
      <c r="A475" s="63">
        <v>471</v>
      </c>
      <c r="B475" s="63">
        <v>9</v>
      </c>
      <c r="C475" s="62" t="s">
        <v>65</v>
      </c>
      <c r="D475" s="131" t="s">
        <v>894</v>
      </c>
      <c r="E475" s="66">
        <v>1369.0081705637426</v>
      </c>
      <c r="F475" s="67" t="s">
        <v>91</v>
      </c>
      <c r="G475" s="68">
        <v>31510.355</v>
      </c>
      <c r="H475" s="72" t="s">
        <v>126</v>
      </c>
      <c r="I475" s="88" t="s">
        <v>153</v>
      </c>
      <c r="J475" s="132">
        <v>1369.0081705637426</v>
      </c>
      <c r="K475" s="132">
        <v>31510.355</v>
      </c>
      <c r="L475" s="133">
        <v>23.016922526491847</v>
      </c>
      <c r="M475" s="132">
        <v>1358.6451509999999</v>
      </c>
      <c r="N475" s="134">
        <v>0.99243027193952005</v>
      </c>
      <c r="O475" s="132">
        <v>10.363019563742682</v>
      </c>
      <c r="P475" s="133">
        <v>7.5697280604799487E-3</v>
      </c>
    </row>
    <row r="476" spans="1:16" ht="20.25" customHeight="1">
      <c r="A476" s="63">
        <v>472</v>
      </c>
      <c r="B476" s="63">
        <v>10</v>
      </c>
      <c r="C476" s="62" t="s">
        <v>65</v>
      </c>
      <c r="D476" s="131" t="s">
        <v>895</v>
      </c>
      <c r="E476" s="66">
        <v>184.79708392895108</v>
      </c>
      <c r="F476" s="74" t="s">
        <v>123</v>
      </c>
      <c r="G476" s="68"/>
      <c r="H476" s="72" t="s">
        <v>116</v>
      </c>
      <c r="I476" s="88" t="s">
        <v>200</v>
      </c>
      <c r="J476" s="132">
        <v>184.79708392895108</v>
      </c>
      <c r="K476" s="132"/>
      <c r="L476" s="133">
        <v>0</v>
      </c>
      <c r="M476" s="132"/>
      <c r="N476" s="134">
        <v>0</v>
      </c>
      <c r="O476" s="132">
        <v>184.79708392895108</v>
      </c>
      <c r="P476" s="133">
        <v>1</v>
      </c>
    </row>
    <row r="477" spans="1:16" ht="20.25" customHeight="1">
      <c r="A477" s="63">
        <v>473</v>
      </c>
      <c r="B477" s="63">
        <v>1</v>
      </c>
      <c r="C477" s="64" t="s">
        <v>66</v>
      </c>
      <c r="D477" s="131" t="s">
        <v>896</v>
      </c>
      <c r="E477" s="84">
        <v>239.0581941179</v>
      </c>
      <c r="F477" s="67" t="s">
        <v>123</v>
      </c>
      <c r="G477" s="68"/>
      <c r="H477" s="72" t="s">
        <v>116</v>
      </c>
      <c r="I477" s="88" t="s">
        <v>223</v>
      </c>
      <c r="J477" s="132">
        <v>239.0581941179</v>
      </c>
      <c r="K477" s="132"/>
      <c r="L477" s="133">
        <v>0</v>
      </c>
      <c r="M477" s="132"/>
      <c r="N477" s="134">
        <v>0</v>
      </c>
      <c r="O477" s="132">
        <v>239.0581941179</v>
      </c>
      <c r="P477" s="133">
        <v>1</v>
      </c>
    </row>
    <row r="478" spans="1:16" ht="20.25" customHeight="1">
      <c r="A478" s="63">
        <v>474</v>
      </c>
      <c r="B478" s="63">
        <v>2</v>
      </c>
      <c r="C478" s="64" t="s">
        <v>66</v>
      </c>
      <c r="D478" s="131" t="s">
        <v>897</v>
      </c>
      <c r="E478" s="84">
        <v>0</v>
      </c>
      <c r="F478" s="74" t="s">
        <v>104</v>
      </c>
      <c r="G478" s="68">
        <v>7518</v>
      </c>
      <c r="H478" s="72" t="s">
        <v>116</v>
      </c>
      <c r="I478" s="88" t="s">
        <v>153</v>
      </c>
      <c r="J478" s="132">
        <v>0</v>
      </c>
      <c r="K478" s="132">
        <v>7518</v>
      </c>
      <c r="L478" s="133" t="s">
        <v>394</v>
      </c>
      <c r="M478" s="132"/>
      <c r="N478" s="134" t="s">
        <v>394</v>
      </c>
      <c r="O478" s="132">
        <v>0</v>
      </c>
      <c r="P478" s="133" t="s">
        <v>394</v>
      </c>
    </row>
    <row r="479" spans="1:16" ht="20.25" customHeight="1">
      <c r="A479" s="63">
        <v>475</v>
      </c>
      <c r="B479" s="63">
        <v>3</v>
      </c>
      <c r="C479" s="64" t="s">
        <v>66</v>
      </c>
      <c r="D479" s="131" t="s">
        <v>898</v>
      </c>
      <c r="E479" s="66">
        <v>3567.6698235081158</v>
      </c>
      <c r="F479" s="67" t="s">
        <v>104</v>
      </c>
      <c r="G479" s="68">
        <v>4417</v>
      </c>
      <c r="H479" s="72" t="s">
        <v>116</v>
      </c>
      <c r="I479" s="88" t="s">
        <v>899</v>
      </c>
      <c r="J479" s="132">
        <v>3567.6698235081158</v>
      </c>
      <c r="K479" s="132">
        <v>4417</v>
      </c>
      <c r="L479" s="133">
        <v>1.238062998682073</v>
      </c>
      <c r="M479" s="132"/>
      <c r="N479" s="134">
        <v>0</v>
      </c>
      <c r="O479" s="132">
        <v>3567.6698235081158</v>
      </c>
      <c r="P479" s="133">
        <v>1</v>
      </c>
    </row>
    <row r="480" spans="1:16" ht="20.25" customHeight="1">
      <c r="A480" s="63">
        <v>476</v>
      </c>
      <c r="B480" s="63">
        <v>4</v>
      </c>
      <c r="C480" s="64" t="s">
        <v>66</v>
      </c>
      <c r="D480" s="131" t="s">
        <v>900</v>
      </c>
      <c r="E480" s="66">
        <v>864.9572108727408</v>
      </c>
      <c r="F480" s="74" t="s">
        <v>123</v>
      </c>
      <c r="G480" s="68" t="s">
        <v>394</v>
      </c>
      <c r="H480" s="72"/>
      <c r="I480" s="88" t="s">
        <v>394</v>
      </c>
      <c r="J480" s="132">
        <v>864.9572108727408</v>
      </c>
      <c r="K480" s="132" t="s">
        <v>394</v>
      </c>
      <c r="L480" s="133">
        <v>0</v>
      </c>
      <c r="M480" s="132"/>
      <c r="N480" s="134">
        <v>0</v>
      </c>
      <c r="O480" s="132">
        <v>864.9572108727408</v>
      </c>
      <c r="P480" s="133">
        <v>1</v>
      </c>
    </row>
    <row r="481" spans="1:16" ht="20.25" customHeight="1">
      <c r="A481" s="63">
        <v>477</v>
      </c>
      <c r="B481" s="63">
        <v>5</v>
      </c>
      <c r="C481" s="64" t="s">
        <v>66</v>
      </c>
      <c r="D481" s="131" t="s">
        <v>901</v>
      </c>
      <c r="E481" s="66"/>
      <c r="F481" s="67" t="s">
        <v>661</v>
      </c>
      <c r="G481" s="68" t="s">
        <v>394</v>
      </c>
      <c r="H481" s="72"/>
      <c r="I481" s="88" t="s">
        <v>394</v>
      </c>
      <c r="J481" s="132"/>
      <c r="K481" s="132" t="s">
        <v>394</v>
      </c>
      <c r="L481" s="133" t="s">
        <v>394</v>
      </c>
      <c r="M481" s="132"/>
      <c r="N481" s="134" t="s">
        <v>394</v>
      </c>
      <c r="O481" s="132">
        <v>0</v>
      </c>
      <c r="P481" s="133" t="s">
        <v>394</v>
      </c>
    </row>
    <row r="482" spans="1:16" ht="20.25" customHeight="1">
      <c r="A482" s="63">
        <v>478</v>
      </c>
      <c r="B482" s="63">
        <v>6</v>
      </c>
      <c r="C482" s="64" t="s">
        <v>66</v>
      </c>
      <c r="D482" s="131" t="s">
        <v>902</v>
      </c>
      <c r="E482" s="66">
        <v>582.95501621373182</v>
      </c>
      <c r="F482" s="74" t="s">
        <v>104</v>
      </c>
      <c r="G482" s="68">
        <v>3101</v>
      </c>
      <c r="H482" s="72" t="s">
        <v>116</v>
      </c>
      <c r="I482" s="88" t="s">
        <v>225</v>
      </c>
      <c r="J482" s="132">
        <v>582.95501621373182</v>
      </c>
      <c r="K482" s="132">
        <v>3101</v>
      </c>
      <c r="L482" s="133">
        <v>5.3194498953639062</v>
      </c>
      <c r="M482" s="132"/>
      <c r="N482" s="134">
        <v>0</v>
      </c>
      <c r="O482" s="132">
        <v>582.95501621373182</v>
      </c>
      <c r="P482" s="133">
        <v>1</v>
      </c>
    </row>
    <row r="483" spans="1:16" ht="20.25" customHeight="1">
      <c r="A483" s="63">
        <v>479</v>
      </c>
      <c r="B483" s="63">
        <v>7</v>
      </c>
      <c r="C483" s="64" t="s">
        <v>66</v>
      </c>
      <c r="D483" s="131" t="s">
        <v>903</v>
      </c>
      <c r="E483" s="66">
        <v>141.61748764726701</v>
      </c>
      <c r="F483" s="67" t="s">
        <v>104</v>
      </c>
      <c r="G483" s="68">
        <v>49010</v>
      </c>
      <c r="H483" s="72" t="s">
        <v>116</v>
      </c>
      <c r="I483" s="88" t="s">
        <v>323</v>
      </c>
      <c r="J483" s="132">
        <v>141.61748764726701</v>
      </c>
      <c r="K483" s="132">
        <v>49010</v>
      </c>
      <c r="L483" s="133">
        <v>346.07307906825315</v>
      </c>
      <c r="M483" s="132"/>
      <c r="N483" s="134">
        <v>0</v>
      </c>
      <c r="O483" s="132">
        <v>141.61748764726701</v>
      </c>
      <c r="P483" s="133">
        <v>1</v>
      </c>
    </row>
    <row r="484" spans="1:16" ht="20.25" customHeight="1">
      <c r="A484" s="63">
        <v>480</v>
      </c>
      <c r="B484" s="63">
        <v>1</v>
      </c>
      <c r="C484" s="64" t="s">
        <v>67</v>
      </c>
      <c r="D484" s="131" t="s">
        <v>904</v>
      </c>
      <c r="E484" s="84">
        <v>22.899135048183002</v>
      </c>
      <c r="F484" s="74" t="s">
        <v>123</v>
      </c>
      <c r="G484" s="68" t="s">
        <v>394</v>
      </c>
      <c r="H484" s="72"/>
      <c r="I484" s="88" t="s">
        <v>394</v>
      </c>
      <c r="J484" s="132">
        <v>22.899135048183002</v>
      </c>
      <c r="K484" s="132" t="s">
        <v>394</v>
      </c>
      <c r="L484" s="133">
        <v>0</v>
      </c>
      <c r="M484" s="132"/>
      <c r="N484" s="134">
        <v>0</v>
      </c>
      <c r="O484" s="132">
        <v>22.899135048183002</v>
      </c>
      <c r="P484" s="133">
        <v>1</v>
      </c>
    </row>
    <row r="485" spans="1:16" ht="20.25" customHeight="1">
      <c r="A485" s="63">
        <v>481</v>
      </c>
      <c r="B485" s="63">
        <v>2</v>
      </c>
      <c r="C485" s="64" t="s">
        <v>67</v>
      </c>
      <c r="D485" s="131" t="s">
        <v>905</v>
      </c>
      <c r="E485" s="66"/>
      <c r="F485" s="67" t="s">
        <v>661</v>
      </c>
      <c r="G485" s="68" t="s">
        <v>394</v>
      </c>
      <c r="H485" s="72"/>
      <c r="I485" s="88" t="s">
        <v>394</v>
      </c>
      <c r="J485" s="132"/>
      <c r="K485" s="132" t="s">
        <v>394</v>
      </c>
      <c r="L485" s="133" t="s">
        <v>394</v>
      </c>
      <c r="M485" s="132"/>
      <c r="N485" s="134" t="s">
        <v>394</v>
      </c>
      <c r="O485" s="132">
        <v>0</v>
      </c>
      <c r="P485" s="133" t="s">
        <v>394</v>
      </c>
    </row>
    <row r="486" spans="1:16" ht="20.25" customHeight="1">
      <c r="A486" s="63">
        <v>482</v>
      </c>
      <c r="B486" s="63">
        <v>3</v>
      </c>
      <c r="C486" s="64" t="s">
        <v>67</v>
      </c>
      <c r="D486" s="131" t="s">
        <v>906</v>
      </c>
      <c r="E486" s="66">
        <v>219.25439918735003</v>
      </c>
      <c r="F486" s="74" t="s">
        <v>123</v>
      </c>
      <c r="G486" s="68"/>
      <c r="H486" s="72" t="s">
        <v>116</v>
      </c>
      <c r="I486" s="88" t="s">
        <v>828</v>
      </c>
      <c r="J486" s="132">
        <v>219.25439918735003</v>
      </c>
      <c r="K486" s="132"/>
      <c r="L486" s="133">
        <v>0</v>
      </c>
      <c r="M486" s="132"/>
      <c r="N486" s="134">
        <v>0</v>
      </c>
      <c r="O486" s="132">
        <v>219.25439918735003</v>
      </c>
      <c r="P486" s="133">
        <v>1</v>
      </c>
    </row>
    <row r="487" spans="1:16" ht="20.25" customHeight="1">
      <c r="A487" s="63">
        <v>483</v>
      </c>
      <c r="B487" s="63">
        <v>4</v>
      </c>
      <c r="C487" s="64" t="s">
        <v>67</v>
      </c>
      <c r="D487" s="131" t="s">
        <v>907</v>
      </c>
      <c r="E487" s="66">
        <v>2985.7051496828321</v>
      </c>
      <c r="F487" s="67" t="s">
        <v>104</v>
      </c>
      <c r="G487" s="68">
        <v>6476</v>
      </c>
      <c r="H487" s="72" t="s">
        <v>116</v>
      </c>
      <c r="I487" s="88" t="s">
        <v>552</v>
      </c>
      <c r="J487" s="132">
        <v>2985.7051496828321</v>
      </c>
      <c r="K487" s="132">
        <v>6476</v>
      </c>
      <c r="L487" s="133">
        <v>2.1690018522719625</v>
      </c>
      <c r="M487" s="132"/>
      <c r="N487" s="134">
        <v>0</v>
      </c>
      <c r="O487" s="132">
        <v>2985.7051496828321</v>
      </c>
      <c r="P487" s="133">
        <v>1</v>
      </c>
    </row>
    <row r="488" spans="1:16" ht="20.25" customHeight="1">
      <c r="A488" s="63">
        <v>484</v>
      </c>
      <c r="B488" s="63">
        <v>5</v>
      </c>
      <c r="C488" s="64" t="s">
        <v>67</v>
      </c>
      <c r="D488" s="131" t="s">
        <v>908</v>
      </c>
      <c r="E488" s="66">
        <v>235.71907861733564</v>
      </c>
      <c r="F488" s="74" t="s">
        <v>661</v>
      </c>
      <c r="G488" s="68" t="s">
        <v>394</v>
      </c>
      <c r="H488" s="72"/>
      <c r="I488" s="88" t="s">
        <v>394</v>
      </c>
      <c r="J488" s="132">
        <v>235.71907861733564</v>
      </c>
      <c r="K488" s="132" t="s">
        <v>394</v>
      </c>
      <c r="L488" s="133">
        <v>0</v>
      </c>
      <c r="M488" s="132"/>
      <c r="N488" s="134">
        <v>0</v>
      </c>
      <c r="O488" s="132">
        <v>235.71907861733564</v>
      </c>
      <c r="P488" s="133">
        <v>1</v>
      </c>
    </row>
    <row r="489" spans="1:16" ht="20.25" customHeight="1">
      <c r="A489" s="63">
        <v>485</v>
      </c>
      <c r="B489" s="63">
        <v>6</v>
      </c>
      <c r="C489" s="64" t="s">
        <v>67</v>
      </c>
      <c r="D489" s="131" t="s">
        <v>909</v>
      </c>
      <c r="E489" s="66"/>
      <c r="F489" s="67" t="s">
        <v>123</v>
      </c>
      <c r="G489" s="68" t="s">
        <v>394</v>
      </c>
      <c r="H489" s="72"/>
      <c r="I489" s="88" t="s">
        <v>394</v>
      </c>
      <c r="J489" s="132"/>
      <c r="K489" s="132" t="s">
        <v>394</v>
      </c>
      <c r="L489" s="133" t="s">
        <v>394</v>
      </c>
      <c r="M489" s="132"/>
      <c r="N489" s="134" t="s">
        <v>394</v>
      </c>
      <c r="O489" s="132">
        <v>0</v>
      </c>
      <c r="P489" s="133" t="s">
        <v>394</v>
      </c>
    </row>
    <row r="490" spans="1:16" ht="20.25" customHeight="1">
      <c r="A490" s="63">
        <v>486</v>
      </c>
      <c r="B490" s="63">
        <v>1</v>
      </c>
      <c r="C490" s="64" t="s">
        <v>71</v>
      </c>
      <c r="D490" s="131" t="s">
        <v>910</v>
      </c>
      <c r="E490" s="84"/>
      <c r="F490" s="74" t="s">
        <v>123</v>
      </c>
      <c r="G490" s="68" t="s">
        <v>394</v>
      </c>
      <c r="H490" s="72"/>
      <c r="I490" s="88" t="s">
        <v>394</v>
      </c>
      <c r="J490" s="132"/>
      <c r="K490" s="132" t="s">
        <v>394</v>
      </c>
      <c r="L490" s="133" t="s">
        <v>394</v>
      </c>
      <c r="M490" s="132"/>
      <c r="N490" s="134" t="s">
        <v>394</v>
      </c>
      <c r="O490" s="132">
        <v>0</v>
      </c>
      <c r="P490" s="133" t="s">
        <v>394</v>
      </c>
    </row>
    <row r="491" spans="1:16" ht="20.25" customHeight="1">
      <c r="A491" s="63">
        <v>487</v>
      </c>
      <c r="B491" s="63">
        <v>2</v>
      </c>
      <c r="C491" s="64" t="s">
        <v>71</v>
      </c>
      <c r="D491" s="131" t="s">
        <v>911</v>
      </c>
      <c r="E491" s="66">
        <v>826.5201722237457</v>
      </c>
      <c r="F491" s="67" t="s">
        <v>123</v>
      </c>
      <c r="G491" s="68">
        <v>0</v>
      </c>
      <c r="H491" s="72" t="s">
        <v>126</v>
      </c>
      <c r="I491" s="88" t="s">
        <v>837</v>
      </c>
      <c r="J491" s="132">
        <v>826.5201722237457</v>
      </c>
      <c r="K491" s="132">
        <v>0</v>
      </c>
      <c r="L491" s="133">
        <v>0</v>
      </c>
      <c r="M491" s="132"/>
      <c r="N491" s="134">
        <v>0</v>
      </c>
      <c r="O491" s="132">
        <v>826.5201722237457</v>
      </c>
      <c r="P491" s="133">
        <v>1</v>
      </c>
    </row>
    <row r="492" spans="1:16" ht="20.25" customHeight="1">
      <c r="A492" s="63">
        <v>488</v>
      </c>
      <c r="B492" s="63">
        <v>3</v>
      </c>
      <c r="C492" s="64" t="s">
        <v>71</v>
      </c>
      <c r="D492" s="131" t="s">
        <v>912</v>
      </c>
      <c r="E492" s="66">
        <v>920.37385353103991</v>
      </c>
      <c r="F492" s="74" t="s">
        <v>123</v>
      </c>
      <c r="G492" s="68"/>
      <c r="H492" s="72" t="s">
        <v>116</v>
      </c>
      <c r="I492" s="88" t="s">
        <v>913</v>
      </c>
      <c r="J492" s="132">
        <v>920.37385353103991</v>
      </c>
      <c r="K492" s="132"/>
      <c r="L492" s="133">
        <v>0</v>
      </c>
      <c r="M492" s="132"/>
      <c r="N492" s="134">
        <v>0</v>
      </c>
      <c r="O492" s="132">
        <v>920.37385353103991</v>
      </c>
      <c r="P492" s="133">
        <v>1</v>
      </c>
    </row>
    <row r="493" spans="1:16" ht="20.25" customHeight="1">
      <c r="A493" s="63">
        <v>489</v>
      </c>
      <c r="B493" s="63">
        <v>4</v>
      </c>
      <c r="C493" s="64" t="s">
        <v>71</v>
      </c>
      <c r="D493" s="131" t="s">
        <v>914</v>
      </c>
      <c r="E493" s="66"/>
      <c r="F493" s="67" t="s">
        <v>123</v>
      </c>
      <c r="G493" s="68"/>
      <c r="H493" s="72" t="s">
        <v>116</v>
      </c>
      <c r="I493" s="88" t="s">
        <v>915</v>
      </c>
      <c r="J493" s="132"/>
      <c r="K493" s="132"/>
      <c r="L493" s="133" t="s">
        <v>394</v>
      </c>
      <c r="M493" s="132"/>
      <c r="N493" s="134" t="s">
        <v>394</v>
      </c>
      <c r="O493" s="132">
        <v>0</v>
      </c>
      <c r="P493" s="133" t="s">
        <v>394</v>
      </c>
    </row>
    <row r="494" spans="1:16" ht="20.25" customHeight="1">
      <c r="A494" s="63">
        <v>490</v>
      </c>
      <c r="B494" s="63">
        <v>5</v>
      </c>
      <c r="C494" s="64" t="s">
        <v>71</v>
      </c>
      <c r="D494" s="131" t="s">
        <v>916</v>
      </c>
      <c r="E494" s="66">
        <v>897.11973109985149</v>
      </c>
      <c r="F494" s="74" t="s">
        <v>123</v>
      </c>
      <c r="G494" s="68"/>
      <c r="H494" s="72" t="s">
        <v>116</v>
      </c>
      <c r="I494" s="88" t="s">
        <v>321</v>
      </c>
      <c r="J494" s="132">
        <v>897.11973109985149</v>
      </c>
      <c r="K494" s="132"/>
      <c r="L494" s="133">
        <v>0</v>
      </c>
      <c r="M494" s="132"/>
      <c r="N494" s="134">
        <v>0</v>
      </c>
      <c r="O494" s="132">
        <v>897.11973109985149</v>
      </c>
      <c r="P494" s="133">
        <v>1</v>
      </c>
    </row>
    <row r="495" spans="1:16" ht="20.25" customHeight="1">
      <c r="A495" s="63">
        <v>491</v>
      </c>
      <c r="B495" s="63">
        <v>6</v>
      </c>
      <c r="C495" s="64" t="s">
        <v>71</v>
      </c>
      <c r="D495" s="131" t="s">
        <v>917</v>
      </c>
      <c r="E495" s="66"/>
      <c r="F495" s="67" t="s">
        <v>123</v>
      </c>
      <c r="G495" s="68"/>
      <c r="H495" s="72" t="s">
        <v>116</v>
      </c>
      <c r="I495" s="88" t="s">
        <v>918</v>
      </c>
      <c r="J495" s="132"/>
      <c r="K495" s="132"/>
      <c r="L495" s="133" t="s">
        <v>394</v>
      </c>
      <c r="M495" s="132"/>
      <c r="N495" s="134" t="s">
        <v>394</v>
      </c>
      <c r="O495" s="132">
        <v>0</v>
      </c>
      <c r="P495" s="133" t="s">
        <v>394</v>
      </c>
    </row>
    <row r="496" spans="1:16" ht="20.25" customHeight="1">
      <c r="A496" s="63">
        <v>492</v>
      </c>
      <c r="B496" s="63">
        <v>7</v>
      </c>
      <c r="C496" s="64" t="s">
        <v>71</v>
      </c>
      <c r="D496" s="131" t="s">
        <v>919</v>
      </c>
      <c r="E496" s="66">
        <v>251.15996419909499</v>
      </c>
      <c r="F496" s="74" t="s">
        <v>123</v>
      </c>
      <c r="G496" s="68"/>
      <c r="H496" s="72" t="s">
        <v>116</v>
      </c>
      <c r="I496" s="88" t="s">
        <v>167</v>
      </c>
      <c r="J496" s="132">
        <v>251.15996419909499</v>
      </c>
      <c r="K496" s="132"/>
      <c r="L496" s="133">
        <v>0</v>
      </c>
      <c r="M496" s="132"/>
      <c r="N496" s="134">
        <v>0</v>
      </c>
      <c r="O496" s="132">
        <v>251.15996419909499</v>
      </c>
      <c r="P496" s="133">
        <v>1</v>
      </c>
    </row>
    <row r="497" spans="1:16" ht="20.25" customHeight="1">
      <c r="A497" s="63">
        <v>493</v>
      </c>
      <c r="B497" s="63">
        <v>8</v>
      </c>
      <c r="C497" s="64" t="s">
        <v>71</v>
      </c>
      <c r="D497" s="131" t="s">
        <v>920</v>
      </c>
      <c r="E497" s="66"/>
      <c r="F497" s="67" t="s">
        <v>123</v>
      </c>
      <c r="G497" s="68" t="s">
        <v>394</v>
      </c>
      <c r="H497" s="72"/>
      <c r="I497" s="88" t="s">
        <v>394</v>
      </c>
      <c r="J497" s="132"/>
      <c r="K497" s="132" t="s">
        <v>394</v>
      </c>
      <c r="L497" s="133" t="s">
        <v>394</v>
      </c>
      <c r="M497" s="132"/>
      <c r="N497" s="134" t="s">
        <v>394</v>
      </c>
      <c r="O497" s="132">
        <v>0</v>
      </c>
      <c r="P497" s="133" t="s">
        <v>394</v>
      </c>
    </row>
    <row r="498" spans="1:16" ht="20.25" customHeight="1">
      <c r="A498" s="63">
        <v>494</v>
      </c>
      <c r="B498" s="63">
        <v>9</v>
      </c>
      <c r="C498" s="64" t="s">
        <v>71</v>
      </c>
      <c r="D498" s="131" t="s">
        <v>921</v>
      </c>
      <c r="E498" s="66">
        <v>21.27320218805</v>
      </c>
      <c r="F498" s="74" t="s">
        <v>104</v>
      </c>
      <c r="G498" s="68">
        <v>117849</v>
      </c>
      <c r="H498" s="72" t="s">
        <v>116</v>
      </c>
      <c r="I498" s="88" t="s">
        <v>315</v>
      </c>
      <c r="J498" s="132">
        <v>21.27320218805</v>
      </c>
      <c r="K498" s="132">
        <v>117849</v>
      </c>
      <c r="L498" s="133">
        <v>5539.7865802356946</v>
      </c>
      <c r="M498" s="132"/>
      <c r="N498" s="134">
        <v>0</v>
      </c>
      <c r="O498" s="132">
        <v>21.27320218805</v>
      </c>
      <c r="P498" s="133">
        <v>1</v>
      </c>
    </row>
    <row r="499" spans="1:16" ht="20.25" customHeight="1">
      <c r="A499" s="63">
        <v>495</v>
      </c>
      <c r="B499" s="63">
        <v>1</v>
      </c>
      <c r="C499" s="64" t="s">
        <v>68</v>
      </c>
      <c r="D499" s="131" t="s">
        <v>922</v>
      </c>
      <c r="E499" s="66">
        <v>391.18495353980893</v>
      </c>
      <c r="F499" s="67" t="s">
        <v>123</v>
      </c>
      <c r="G499" s="68" t="s">
        <v>394</v>
      </c>
      <c r="H499" s="72"/>
      <c r="I499" s="88" t="s">
        <v>394</v>
      </c>
      <c r="J499" s="132">
        <v>391.18495353980893</v>
      </c>
      <c r="K499" s="132" t="s">
        <v>394</v>
      </c>
      <c r="L499" s="133">
        <v>0</v>
      </c>
      <c r="M499" s="132"/>
      <c r="N499" s="134">
        <v>0</v>
      </c>
      <c r="O499" s="132">
        <v>391.18495353980893</v>
      </c>
      <c r="P499" s="133">
        <v>1</v>
      </c>
    </row>
    <row r="500" spans="1:16" ht="20.25" customHeight="1">
      <c r="A500" s="63">
        <v>496</v>
      </c>
      <c r="B500" s="63">
        <v>2</v>
      </c>
      <c r="C500" s="64" t="s">
        <v>68</v>
      </c>
      <c r="D500" s="131" t="s">
        <v>923</v>
      </c>
      <c r="E500" s="66"/>
      <c r="F500" s="74" t="s">
        <v>123</v>
      </c>
      <c r="G500" s="68"/>
      <c r="H500" s="72" t="s">
        <v>116</v>
      </c>
      <c r="I500" s="88" t="s">
        <v>924</v>
      </c>
      <c r="J500" s="132"/>
      <c r="K500" s="132"/>
      <c r="L500" s="133" t="s">
        <v>394</v>
      </c>
      <c r="M500" s="132"/>
      <c r="N500" s="134" t="s">
        <v>394</v>
      </c>
      <c r="O500" s="132">
        <v>0</v>
      </c>
      <c r="P500" s="133" t="s">
        <v>394</v>
      </c>
    </row>
    <row r="501" spans="1:16" ht="20.25" customHeight="1">
      <c r="A501" s="63">
        <v>497</v>
      </c>
      <c r="B501" s="63">
        <v>3</v>
      </c>
      <c r="C501" s="64" t="s">
        <v>68</v>
      </c>
      <c r="D501" s="131" t="s">
        <v>925</v>
      </c>
      <c r="E501" s="66"/>
      <c r="F501" s="67" t="s">
        <v>123</v>
      </c>
      <c r="G501" s="68"/>
      <c r="H501" s="72" t="s">
        <v>116</v>
      </c>
      <c r="I501" s="88" t="s">
        <v>926</v>
      </c>
      <c r="J501" s="132"/>
      <c r="K501" s="132"/>
      <c r="L501" s="133" t="s">
        <v>394</v>
      </c>
      <c r="M501" s="132"/>
      <c r="N501" s="134" t="s">
        <v>394</v>
      </c>
      <c r="O501" s="132">
        <v>0</v>
      </c>
      <c r="P501" s="133" t="s">
        <v>394</v>
      </c>
    </row>
    <row r="502" spans="1:16" ht="20.25" customHeight="1">
      <c r="A502" s="63">
        <v>498</v>
      </c>
      <c r="B502" s="63">
        <v>4</v>
      </c>
      <c r="C502" s="64" t="s">
        <v>68</v>
      </c>
      <c r="D502" s="131" t="s">
        <v>927</v>
      </c>
      <c r="E502" s="66"/>
      <c r="F502" s="74" t="s">
        <v>123</v>
      </c>
      <c r="G502" s="68"/>
      <c r="H502" s="72" t="s">
        <v>116</v>
      </c>
      <c r="I502" s="88" t="s">
        <v>285</v>
      </c>
      <c r="J502" s="132"/>
      <c r="K502" s="132"/>
      <c r="L502" s="133" t="s">
        <v>394</v>
      </c>
      <c r="M502" s="132"/>
      <c r="N502" s="134" t="s">
        <v>394</v>
      </c>
      <c r="O502" s="132">
        <v>0</v>
      </c>
      <c r="P502" s="133" t="s">
        <v>394</v>
      </c>
    </row>
    <row r="503" spans="1:16" ht="20.25" customHeight="1">
      <c r="A503" s="63">
        <v>499</v>
      </c>
      <c r="B503" s="63">
        <v>5</v>
      </c>
      <c r="C503" s="64" t="s">
        <v>68</v>
      </c>
      <c r="D503" s="131" t="s">
        <v>928</v>
      </c>
      <c r="E503" s="66">
        <v>23.819142198600002</v>
      </c>
      <c r="F503" s="67" t="s">
        <v>661</v>
      </c>
      <c r="G503" s="68" t="s">
        <v>394</v>
      </c>
      <c r="H503" s="72"/>
      <c r="I503" s="88" t="s">
        <v>394</v>
      </c>
      <c r="J503" s="132">
        <v>23.819142198600002</v>
      </c>
      <c r="K503" s="132" t="s">
        <v>394</v>
      </c>
      <c r="L503" s="133">
        <v>0</v>
      </c>
      <c r="M503" s="132"/>
      <c r="N503" s="134">
        <v>0</v>
      </c>
      <c r="O503" s="132">
        <v>23.819142198600002</v>
      </c>
      <c r="P503" s="133">
        <v>1</v>
      </c>
    </row>
    <row r="504" spans="1:16" ht="20.25" customHeight="1">
      <c r="A504" s="63">
        <v>500</v>
      </c>
      <c r="B504" s="63">
        <v>6</v>
      </c>
      <c r="C504" s="64" t="s">
        <v>68</v>
      </c>
      <c r="D504" s="131" t="s">
        <v>929</v>
      </c>
      <c r="E504" s="66"/>
      <c r="F504" s="74" t="s">
        <v>123</v>
      </c>
      <c r="G504" s="68"/>
      <c r="H504" s="72" t="s">
        <v>116</v>
      </c>
      <c r="I504" s="88" t="s">
        <v>930</v>
      </c>
      <c r="J504" s="132"/>
      <c r="K504" s="132"/>
      <c r="L504" s="133" t="s">
        <v>394</v>
      </c>
      <c r="M504" s="132"/>
      <c r="N504" s="134" t="s">
        <v>394</v>
      </c>
      <c r="O504" s="132">
        <v>0</v>
      </c>
      <c r="P504" s="133" t="s">
        <v>394</v>
      </c>
    </row>
    <row r="505" spans="1:16" ht="20.25" customHeight="1">
      <c r="A505" s="63">
        <v>501</v>
      </c>
      <c r="B505" s="63">
        <v>7</v>
      </c>
      <c r="C505" s="64" t="s">
        <v>68</v>
      </c>
      <c r="D505" s="131" t="s">
        <v>931</v>
      </c>
      <c r="E505" s="66"/>
      <c r="F505" s="67" t="s">
        <v>104</v>
      </c>
      <c r="G505" s="68">
        <v>125</v>
      </c>
      <c r="H505" s="72" t="s">
        <v>116</v>
      </c>
      <c r="I505" s="88" t="s">
        <v>932</v>
      </c>
      <c r="J505" s="132"/>
      <c r="K505" s="132">
        <v>125</v>
      </c>
      <c r="L505" s="133" t="s">
        <v>394</v>
      </c>
      <c r="M505" s="132"/>
      <c r="N505" s="134" t="s">
        <v>394</v>
      </c>
      <c r="O505" s="132">
        <v>0</v>
      </c>
      <c r="P505" s="133" t="s">
        <v>394</v>
      </c>
    </row>
    <row r="506" spans="1:16" ht="20.25" customHeight="1">
      <c r="A506" s="63">
        <v>502</v>
      </c>
      <c r="B506" s="63">
        <v>8</v>
      </c>
      <c r="C506" s="64" t="s">
        <v>68</v>
      </c>
      <c r="D506" s="131" t="s">
        <v>933</v>
      </c>
      <c r="E506" s="66"/>
      <c r="F506" s="74" t="s">
        <v>123</v>
      </c>
      <c r="G506" s="68"/>
      <c r="H506" s="72" t="s">
        <v>116</v>
      </c>
      <c r="I506" s="88" t="s">
        <v>934</v>
      </c>
      <c r="J506" s="132"/>
      <c r="K506" s="132"/>
      <c r="L506" s="133" t="s">
        <v>394</v>
      </c>
      <c r="M506" s="132"/>
      <c r="N506" s="134" t="s">
        <v>394</v>
      </c>
      <c r="O506" s="132">
        <v>0</v>
      </c>
      <c r="P506" s="133" t="s">
        <v>394</v>
      </c>
    </row>
    <row r="507" spans="1:16" ht="20.25" customHeight="1">
      <c r="A507" s="63">
        <v>503</v>
      </c>
      <c r="B507" s="63">
        <v>1</v>
      </c>
      <c r="C507" s="64" t="s">
        <v>69</v>
      </c>
      <c r="D507" s="131" t="s">
        <v>935</v>
      </c>
      <c r="E507" s="84"/>
      <c r="F507" s="67" t="s">
        <v>123</v>
      </c>
      <c r="G507" s="68"/>
      <c r="H507" s="72" t="s">
        <v>116</v>
      </c>
      <c r="I507" s="88" t="s">
        <v>843</v>
      </c>
      <c r="J507" s="132"/>
      <c r="K507" s="132"/>
      <c r="L507" s="133" t="s">
        <v>394</v>
      </c>
      <c r="M507" s="132"/>
      <c r="N507" s="134" t="s">
        <v>394</v>
      </c>
      <c r="O507" s="132">
        <v>0</v>
      </c>
      <c r="P507" s="133" t="s">
        <v>394</v>
      </c>
    </row>
    <row r="508" spans="1:16" ht="20.25" customHeight="1">
      <c r="A508" s="63">
        <v>504</v>
      </c>
      <c r="B508" s="63">
        <v>2</v>
      </c>
      <c r="C508" s="64" t="s">
        <v>69</v>
      </c>
      <c r="D508" s="131" t="s">
        <v>936</v>
      </c>
      <c r="E508" s="84"/>
      <c r="F508" s="74" t="s">
        <v>123</v>
      </c>
      <c r="G508" s="68"/>
      <c r="H508" s="72" t="s">
        <v>116</v>
      </c>
      <c r="I508" s="88" t="s">
        <v>432</v>
      </c>
      <c r="J508" s="132"/>
      <c r="K508" s="132"/>
      <c r="L508" s="133" t="s">
        <v>394</v>
      </c>
      <c r="M508" s="132"/>
      <c r="N508" s="134" t="s">
        <v>394</v>
      </c>
      <c r="O508" s="132">
        <v>0</v>
      </c>
      <c r="P508" s="133" t="s">
        <v>394</v>
      </c>
    </row>
    <row r="509" spans="1:16" ht="20.25" customHeight="1">
      <c r="A509" s="63">
        <v>505</v>
      </c>
      <c r="B509" s="63">
        <v>3</v>
      </c>
      <c r="C509" s="64" t="s">
        <v>69</v>
      </c>
      <c r="D509" s="131" t="s">
        <v>937</v>
      </c>
      <c r="E509" s="66">
        <v>42.241318156858</v>
      </c>
      <c r="F509" s="67" t="s">
        <v>661</v>
      </c>
      <c r="G509" s="68" t="s">
        <v>394</v>
      </c>
      <c r="H509" s="72"/>
      <c r="I509" s="88" t="s">
        <v>394</v>
      </c>
      <c r="J509" s="132">
        <v>42.241318156858</v>
      </c>
      <c r="K509" s="132" t="s">
        <v>394</v>
      </c>
      <c r="L509" s="133">
        <v>0</v>
      </c>
      <c r="M509" s="132"/>
      <c r="N509" s="134">
        <v>0</v>
      </c>
      <c r="O509" s="132">
        <v>42.241318156858</v>
      </c>
      <c r="P509" s="133">
        <v>1</v>
      </c>
    </row>
    <row r="510" spans="1:16" ht="20.25" customHeight="1">
      <c r="A510" s="63">
        <v>506</v>
      </c>
      <c r="B510" s="63">
        <v>4</v>
      </c>
      <c r="C510" s="64" t="s">
        <v>69</v>
      </c>
      <c r="D510" s="131" t="s">
        <v>938</v>
      </c>
      <c r="E510" s="66">
        <v>30258.299702080792</v>
      </c>
      <c r="F510" s="74" t="s">
        <v>91</v>
      </c>
      <c r="G510" s="68">
        <v>30432.39</v>
      </c>
      <c r="H510" s="72" t="s">
        <v>126</v>
      </c>
      <c r="I510" s="88" t="s">
        <v>939</v>
      </c>
      <c r="J510" s="132">
        <v>30258.299702080792</v>
      </c>
      <c r="K510" s="132">
        <v>30432.39</v>
      </c>
      <c r="L510" s="133">
        <v>1.0057534725887864</v>
      </c>
      <c r="M510" s="132">
        <v>20325.620046353099</v>
      </c>
      <c r="N510" s="134">
        <v>0.67173701914768702</v>
      </c>
      <c r="O510" s="132">
        <v>9932.6796557276939</v>
      </c>
      <c r="P510" s="133">
        <v>0.32826298085231298</v>
      </c>
    </row>
    <row r="511" spans="1:16" ht="20.25" customHeight="1">
      <c r="A511" s="63">
        <v>507</v>
      </c>
      <c r="B511" s="63">
        <v>1</v>
      </c>
      <c r="C511" s="64" t="s">
        <v>70</v>
      </c>
      <c r="D511" s="131" t="s">
        <v>940</v>
      </c>
      <c r="E511" s="84"/>
      <c r="F511" s="67" t="s">
        <v>123</v>
      </c>
      <c r="G511" s="68"/>
      <c r="H511" s="72" t="s">
        <v>116</v>
      </c>
      <c r="I511" s="88" t="s">
        <v>941</v>
      </c>
      <c r="J511" s="132"/>
      <c r="K511" s="132"/>
      <c r="L511" s="133" t="s">
        <v>394</v>
      </c>
      <c r="M511" s="132"/>
      <c r="N511" s="134" t="s">
        <v>394</v>
      </c>
      <c r="O511" s="132">
        <v>0</v>
      </c>
      <c r="P511" s="133" t="s">
        <v>394</v>
      </c>
    </row>
    <row r="512" spans="1:16" ht="20.25" customHeight="1">
      <c r="A512" s="63">
        <v>508</v>
      </c>
      <c r="B512" s="63">
        <v>2</v>
      </c>
      <c r="C512" s="64" t="s">
        <v>70</v>
      </c>
      <c r="D512" s="131" t="s">
        <v>942</v>
      </c>
      <c r="E512" s="66"/>
      <c r="F512" s="74" t="s">
        <v>91</v>
      </c>
      <c r="G512" s="68">
        <v>23842</v>
      </c>
      <c r="H512" s="72" t="s">
        <v>92</v>
      </c>
      <c r="I512" s="88" t="s">
        <v>943</v>
      </c>
      <c r="J512" s="132"/>
      <c r="K512" s="132">
        <v>23842</v>
      </c>
      <c r="L512" s="133" t="s">
        <v>394</v>
      </c>
      <c r="M512" s="135">
        <v>0</v>
      </c>
      <c r="N512" s="134" t="s">
        <v>394</v>
      </c>
      <c r="O512" s="132">
        <v>0</v>
      </c>
      <c r="P512" s="133" t="s">
        <v>394</v>
      </c>
    </row>
    <row r="513" spans="1:16" ht="20.25" customHeight="1">
      <c r="A513" s="63">
        <v>509</v>
      </c>
      <c r="B513" s="63">
        <v>3</v>
      </c>
      <c r="C513" s="64" t="s">
        <v>70</v>
      </c>
      <c r="D513" s="131" t="s">
        <v>944</v>
      </c>
      <c r="E513" s="66"/>
      <c r="F513" s="67" t="s">
        <v>123</v>
      </c>
      <c r="G513" s="68"/>
      <c r="H513" s="72" t="s">
        <v>116</v>
      </c>
      <c r="I513" s="88" t="s">
        <v>803</v>
      </c>
      <c r="J513" s="132"/>
      <c r="K513" s="132"/>
      <c r="L513" s="133" t="s">
        <v>394</v>
      </c>
      <c r="M513" s="132"/>
      <c r="N513" s="134" t="s">
        <v>394</v>
      </c>
      <c r="O513" s="132">
        <v>0</v>
      </c>
      <c r="P513" s="133" t="s">
        <v>394</v>
      </c>
    </row>
    <row r="514" spans="1:16" ht="20.25" customHeight="1">
      <c r="A514" s="63">
        <v>510</v>
      </c>
      <c r="B514" s="63">
        <v>4</v>
      </c>
      <c r="C514" s="64" t="s">
        <v>70</v>
      </c>
      <c r="D514" s="131" t="s">
        <v>945</v>
      </c>
      <c r="E514" s="66">
        <v>157.983717346346</v>
      </c>
      <c r="F514" s="74" t="s">
        <v>123</v>
      </c>
      <c r="G514" s="68">
        <v>0</v>
      </c>
      <c r="H514" s="72" t="s">
        <v>126</v>
      </c>
      <c r="I514" s="88" t="s">
        <v>837</v>
      </c>
      <c r="J514" s="132">
        <v>157.983717346346</v>
      </c>
      <c r="K514" s="132">
        <v>0</v>
      </c>
      <c r="L514" s="133">
        <v>0</v>
      </c>
      <c r="M514" s="132"/>
      <c r="N514" s="134">
        <v>0</v>
      </c>
      <c r="O514" s="132">
        <v>157.983717346346</v>
      </c>
      <c r="P514" s="133">
        <v>1</v>
      </c>
    </row>
    <row r="515" spans="1:16" ht="20.25" customHeight="1">
      <c r="A515" s="63">
        <v>511</v>
      </c>
      <c r="B515" s="63">
        <v>5</v>
      </c>
      <c r="C515" s="64" t="s">
        <v>70</v>
      </c>
      <c r="D515" s="131" t="s">
        <v>946</v>
      </c>
      <c r="E515" s="66">
        <v>2404.8065652161958</v>
      </c>
      <c r="F515" s="67" t="s">
        <v>104</v>
      </c>
      <c r="G515" s="68">
        <v>34500</v>
      </c>
      <c r="H515" s="72" t="s">
        <v>116</v>
      </c>
      <c r="I515" s="88" t="s">
        <v>151</v>
      </c>
      <c r="J515" s="132">
        <v>2404.8065652161958</v>
      </c>
      <c r="K515" s="132">
        <v>34500</v>
      </c>
      <c r="L515" s="133">
        <v>14.346268219247978</v>
      </c>
      <c r="M515" s="132"/>
      <c r="N515" s="134">
        <v>0</v>
      </c>
      <c r="O515" s="132">
        <v>2404.8065652161958</v>
      </c>
      <c r="P515" s="133">
        <v>1</v>
      </c>
    </row>
    <row r="516" spans="1:16" ht="20.25" customHeight="1">
      <c r="A516" s="63">
        <v>512</v>
      </c>
      <c r="B516" s="63">
        <v>6</v>
      </c>
      <c r="C516" s="64" t="s">
        <v>70</v>
      </c>
      <c r="D516" s="131" t="s">
        <v>947</v>
      </c>
      <c r="E516" s="66"/>
      <c r="F516" s="74" t="s">
        <v>123</v>
      </c>
      <c r="G516" s="68"/>
      <c r="H516" s="72" t="s">
        <v>116</v>
      </c>
      <c r="I516" s="88" t="s">
        <v>444</v>
      </c>
      <c r="J516" s="132"/>
      <c r="K516" s="132"/>
      <c r="L516" s="133" t="s">
        <v>394</v>
      </c>
      <c r="M516" s="132"/>
      <c r="N516" s="134" t="s">
        <v>394</v>
      </c>
      <c r="O516" s="132">
        <v>0</v>
      </c>
      <c r="P516" s="133" t="s">
        <v>394</v>
      </c>
    </row>
    <row r="517" spans="1:16" ht="20.25" customHeight="1">
      <c r="A517" s="63">
        <v>513</v>
      </c>
      <c r="B517" s="63">
        <v>7</v>
      </c>
      <c r="C517" s="64" t="s">
        <v>70</v>
      </c>
      <c r="D517" s="131" t="s">
        <v>948</v>
      </c>
      <c r="E517" s="66"/>
      <c r="F517" s="67" t="s">
        <v>123</v>
      </c>
      <c r="G517" s="68"/>
      <c r="H517" s="72" t="s">
        <v>116</v>
      </c>
      <c r="I517" s="88" t="s">
        <v>934</v>
      </c>
      <c r="J517" s="132"/>
      <c r="K517" s="132"/>
      <c r="L517" s="133" t="s">
        <v>394</v>
      </c>
      <c r="M517" s="132"/>
      <c r="N517" s="134" t="s">
        <v>394</v>
      </c>
      <c r="O517" s="132">
        <v>0</v>
      </c>
      <c r="P517" s="133" t="s">
        <v>394</v>
      </c>
    </row>
    <row r="518" spans="1:16" ht="20.25" customHeight="1">
      <c r="A518" s="63">
        <v>514</v>
      </c>
      <c r="B518" s="63">
        <v>8</v>
      </c>
      <c r="C518" s="64" t="s">
        <v>70</v>
      </c>
      <c r="D518" s="131" t="s">
        <v>949</v>
      </c>
      <c r="E518" s="66"/>
      <c r="F518" s="74" t="s">
        <v>123</v>
      </c>
      <c r="G518" s="68"/>
      <c r="H518" s="72" t="s">
        <v>116</v>
      </c>
      <c r="I518" s="88" t="s">
        <v>934</v>
      </c>
      <c r="J518" s="132"/>
      <c r="K518" s="132"/>
      <c r="L518" s="133" t="s">
        <v>394</v>
      </c>
      <c r="M518" s="132"/>
      <c r="N518" s="134" t="s">
        <v>394</v>
      </c>
      <c r="O518" s="132">
        <v>0</v>
      </c>
      <c r="P518" s="133" t="s">
        <v>394</v>
      </c>
    </row>
    <row r="519" spans="1:16" ht="20.25" customHeight="1">
      <c r="A519" s="64"/>
      <c r="B519" s="64"/>
      <c r="C519" s="64"/>
      <c r="D519" s="64"/>
      <c r="E519" s="84">
        <f>SUM(E5:E518)</f>
        <v>7463953.5009595472</v>
      </c>
      <c r="F519" s="30"/>
      <c r="G519" s="84">
        <f>SUM(G6:G518)</f>
        <v>9583073.2038736586</v>
      </c>
      <c r="H519" s="72"/>
      <c r="I519" s="503" t="e">
        <f>#REF!</f>
        <v>#REF!</v>
      </c>
      <c r="J519" s="140">
        <f t="shared" ref="J519:K519" si="0">SUM(J5:J518)</f>
        <v>7463953.5009595472</v>
      </c>
      <c r="K519" s="140">
        <f t="shared" si="0"/>
        <v>9593226.2038736586</v>
      </c>
      <c r="L519" s="141"/>
      <c r="M519" s="140">
        <f>SUM(M5:M518)</f>
        <v>4475215.6042085253</v>
      </c>
      <c r="N519" s="141"/>
      <c r="O519" s="140">
        <f>SUM(O5:O518)</f>
        <v>2988873.644037602</v>
      </c>
      <c r="P519" s="141"/>
    </row>
    <row r="520" spans="1:16" ht="20.25" customHeight="1">
      <c r="A520" s="47"/>
      <c r="B520" s="47"/>
      <c r="C520" s="47"/>
      <c r="D520" s="47"/>
      <c r="E520" s="97"/>
      <c r="F520" s="488"/>
      <c r="G520" s="47"/>
      <c r="H520" s="489"/>
      <c r="I520" s="490"/>
      <c r="J520" s="491"/>
      <c r="K520" s="491"/>
      <c r="L520" s="492"/>
      <c r="M520" s="491"/>
      <c r="N520" s="492"/>
      <c r="O520" s="491"/>
      <c r="P520" s="492"/>
    </row>
    <row r="521" spans="1:16" ht="20.25" customHeight="1">
      <c r="A521" s="47"/>
      <c r="B521" s="47"/>
      <c r="C521" s="47"/>
      <c r="D521" s="47"/>
      <c r="E521" s="97"/>
      <c r="F521" s="501"/>
      <c r="G521" s="47"/>
      <c r="H521" s="489"/>
      <c r="I521" s="490"/>
      <c r="J521" s="491"/>
      <c r="K521" s="491"/>
      <c r="L521" s="492"/>
      <c r="M521" s="491"/>
      <c r="N521" s="492"/>
      <c r="O521" s="491"/>
      <c r="P521" s="492"/>
    </row>
    <row r="522" spans="1:16" ht="20.25" customHeight="1">
      <c r="A522" s="47"/>
      <c r="B522" s="47"/>
      <c r="C522" s="47"/>
      <c r="D522" s="47"/>
      <c r="E522" s="97"/>
      <c r="F522" s="488"/>
      <c r="G522" s="47"/>
      <c r="H522" s="489"/>
      <c r="I522" s="490"/>
      <c r="J522" s="491"/>
      <c r="K522" s="491"/>
      <c r="L522" s="492"/>
      <c r="M522" s="491"/>
      <c r="N522" s="492"/>
      <c r="O522" s="491"/>
      <c r="P522" s="492"/>
    </row>
    <row r="523" spans="1:16" ht="15.75" customHeight="1"/>
    <row r="524" spans="1:16" ht="15.75" customHeight="1"/>
    <row r="525" spans="1:16" ht="15.75" customHeight="1"/>
    <row r="526" spans="1:16" ht="15.75" customHeight="1"/>
    <row r="527" spans="1:16" ht="15.75" customHeight="1"/>
    <row r="528" spans="1:16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4:P519" xr:uid="{00000000-0009-0000-0000-000003000000}"/>
  <customSheetViews>
    <customSheetView guid="{C3196510-4660-4BEC-89BE-01C65EB5C10A}" filter="1" showAutoFilter="1">
      <pageMargins left="0" right="0" top="0" bottom="0" header="0" footer="0"/>
      <autoFilter ref="A4:P522" xr:uid="{790BEC96-34D6-4EE5-A862-375887399991}"/>
      <extLst>
        <ext uri="GoogleSheetsCustomDataVersion1">
          <go:sheetsCustomData xmlns:go="http://customooxmlschemas.google.com/" filterViewId="1601010262"/>
        </ext>
      </extLst>
    </customSheetView>
    <customSheetView guid="{8CA0649E-B0F3-4F9F-9A3F-69C710DA5DC5}" filter="1" showAutoFilter="1">
      <pageMargins left="0" right="0" top="0" bottom="0" header="0" footer="0"/>
      <autoFilter ref="A4:P520" xr:uid="{3F38AFA5-DC27-4AF3-83F1-E1C63DE343BD}"/>
      <extLst>
        <ext uri="GoogleSheetsCustomDataVersion1">
          <go:sheetsCustomData xmlns:go="http://customooxmlschemas.google.com/" filterViewId="256595166"/>
        </ext>
      </extLst>
    </customSheetView>
  </customSheetViews>
  <mergeCells count="13">
    <mergeCell ref="O2:P2"/>
    <mergeCell ref="A1:A3"/>
    <mergeCell ref="B1:B3"/>
    <mergeCell ref="C1:C3"/>
    <mergeCell ref="D1:D3"/>
    <mergeCell ref="E1:E3"/>
    <mergeCell ref="F1:G1"/>
    <mergeCell ref="H1:P1"/>
    <mergeCell ref="F2:F3"/>
    <mergeCell ref="G2:G3"/>
    <mergeCell ref="H2:I2"/>
    <mergeCell ref="J2:L2"/>
    <mergeCell ref="M2:N2"/>
  </mergeCells>
  <conditionalFormatting sqref="F1:F522">
    <cfRule type="cellIs" dxfId="19" priority="1" operator="equal">
      <formula>"DS"</formula>
    </cfRule>
  </conditionalFormatting>
  <conditionalFormatting sqref="F1:F522">
    <cfRule type="cellIs" dxfId="18" priority="2" operator="equal">
      <formula>"D"</formula>
    </cfRule>
  </conditionalFormatting>
  <conditionalFormatting sqref="F1:F522">
    <cfRule type="cellIs" dxfId="17" priority="3" operator="equal">
      <formula>"TD"</formula>
    </cfRule>
  </conditionalFormatting>
  <conditionalFormatting sqref="F1:F522">
    <cfRule type="cellIs" dxfId="16" priority="4" operator="equal">
      <formula>"TAD"</formula>
    </cfRule>
  </conditionalFormatting>
  <conditionalFormatting sqref="F5">
    <cfRule type="cellIs" dxfId="15" priority="5" operator="notEqual">
      <formula>"D,TD,TAD,DS"</formula>
    </cfRule>
  </conditionalFormatting>
  <conditionalFormatting sqref="M211">
    <cfRule type="cellIs" dxfId="14" priority="6" operator="lessThan">
      <formula>"60%"</formula>
    </cfRule>
  </conditionalFormatting>
  <dataValidations count="1">
    <dataValidation type="list" allowBlank="1" showErrorMessage="1" sqref="H5:H518" xr:uid="{00000000-0002-0000-0300-000000000000}">
      <formula1>"Perkada LP2B,SK LP2B,Perda RTRW,Perda LP2B"</formula1>
    </dataValidation>
  </dataValidations>
  <pageMargins left="0.70866141732283472" right="0.70866141732283472" top="0.74803149606299213" bottom="0.7480314960629921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1000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6.28515625" customWidth="1"/>
    <col min="2" max="3" width="34" customWidth="1"/>
    <col min="4" max="4" width="63.7109375" customWidth="1"/>
    <col min="5" max="11" width="18.42578125" customWidth="1"/>
    <col min="12" max="12" width="22.85546875" customWidth="1"/>
    <col min="13" max="22" width="19.28515625" customWidth="1"/>
    <col min="23" max="23" width="39.85546875" customWidth="1"/>
    <col min="24" max="24" width="49.28515625" customWidth="1"/>
    <col min="25" max="26" width="16" customWidth="1"/>
    <col min="27" max="27" width="48.85546875" customWidth="1"/>
    <col min="28" max="31" width="8.85546875" customWidth="1"/>
    <col min="32" max="33" width="14.42578125" customWidth="1"/>
  </cols>
  <sheetData>
    <row r="1" spans="1:33" ht="33.75" customHeight="1">
      <c r="A1" s="604" t="s">
        <v>976</v>
      </c>
      <c r="B1" s="605" t="s">
        <v>25</v>
      </c>
      <c r="C1" s="605" t="s">
        <v>77</v>
      </c>
      <c r="D1" s="606" t="s">
        <v>977</v>
      </c>
      <c r="E1" s="607" t="s">
        <v>88</v>
      </c>
      <c r="F1" s="142"/>
      <c r="G1" s="142"/>
      <c r="H1" s="608" t="s">
        <v>978</v>
      </c>
      <c r="I1" s="559"/>
      <c r="J1" s="608" t="s">
        <v>979</v>
      </c>
      <c r="K1" s="564"/>
      <c r="L1" s="559"/>
      <c r="M1" s="600" t="s">
        <v>980</v>
      </c>
      <c r="N1" s="564"/>
      <c r="O1" s="559"/>
      <c r="P1" s="601" t="s">
        <v>981</v>
      </c>
      <c r="Q1" s="564"/>
      <c r="R1" s="564"/>
      <c r="S1" s="564"/>
      <c r="T1" s="559"/>
      <c r="U1" s="602" t="s">
        <v>982</v>
      </c>
      <c r="V1" s="603"/>
      <c r="W1" s="564"/>
      <c r="X1" s="564"/>
      <c r="Y1" s="564"/>
      <c r="Z1" s="564"/>
      <c r="AA1" s="559"/>
      <c r="AB1" s="143"/>
      <c r="AC1" s="143"/>
      <c r="AD1" s="143"/>
      <c r="AE1" s="143"/>
      <c r="AF1" s="143"/>
      <c r="AG1" s="143"/>
    </row>
    <row r="2" spans="1:33" ht="45" customHeight="1">
      <c r="A2" s="561"/>
      <c r="B2" s="561"/>
      <c r="C2" s="561"/>
      <c r="D2" s="561"/>
      <c r="E2" s="561"/>
      <c r="F2" s="142"/>
      <c r="G2" s="142"/>
      <c r="H2" s="142" t="s">
        <v>983</v>
      </c>
      <c r="I2" s="142" t="s">
        <v>984</v>
      </c>
      <c r="J2" s="142" t="s">
        <v>985</v>
      </c>
      <c r="K2" s="142" t="s">
        <v>986</v>
      </c>
      <c r="L2" s="142" t="s">
        <v>987</v>
      </c>
      <c r="M2" s="144" t="s">
        <v>988</v>
      </c>
      <c r="N2" s="144" t="s">
        <v>989</v>
      </c>
      <c r="O2" s="144" t="s">
        <v>990</v>
      </c>
      <c r="P2" s="145" t="s">
        <v>991</v>
      </c>
      <c r="Q2" s="145" t="s">
        <v>992</v>
      </c>
      <c r="R2" s="145" t="s">
        <v>993</v>
      </c>
      <c r="S2" s="145" t="s">
        <v>994</v>
      </c>
      <c r="T2" s="146" t="s">
        <v>995</v>
      </c>
      <c r="U2" s="561"/>
      <c r="V2" s="147" t="s">
        <v>996</v>
      </c>
      <c r="W2" s="148" t="s">
        <v>997</v>
      </c>
      <c r="X2" s="148" t="s">
        <v>998</v>
      </c>
      <c r="Y2" s="147" t="s">
        <v>999</v>
      </c>
      <c r="Z2" s="147" t="s">
        <v>1000</v>
      </c>
      <c r="AA2" s="149" t="s">
        <v>987</v>
      </c>
      <c r="AB2" s="143"/>
      <c r="AC2" s="143"/>
      <c r="AD2" s="143"/>
      <c r="AE2" s="143"/>
      <c r="AF2" s="143"/>
      <c r="AG2" s="143"/>
    </row>
    <row r="3" spans="1:33" ht="12.75" customHeight="1">
      <c r="A3" s="150"/>
      <c r="B3" s="151"/>
      <c r="C3" s="151"/>
      <c r="D3" s="151"/>
      <c r="E3" s="150"/>
      <c r="F3" s="152"/>
      <c r="G3" s="152"/>
      <c r="H3" s="152"/>
      <c r="I3" s="152"/>
      <c r="J3" s="152"/>
      <c r="K3" s="152"/>
      <c r="L3" s="152"/>
      <c r="M3" s="153"/>
      <c r="N3" s="154"/>
      <c r="O3" s="154"/>
      <c r="P3" s="155"/>
      <c r="Q3" s="155"/>
      <c r="R3" s="155"/>
      <c r="S3" s="155"/>
      <c r="T3" s="156"/>
      <c r="U3" s="155"/>
      <c r="V3" s="157"/>
      <c r="W3" s="158"/>
      <c r="X3" s="158"/>
      <c r="Y3" s="158"/>
      <c r="Z3" s="158"/>
      <c r="AA3" s="159"/>
      <c r="AB3" s="160"/>
      <c r="AC3" s="160"/>
      <c r="AD3" s="160"/>
      <c r="AE3" s="160"/>
      <c r="AF3" s="160"/>
      <c r="AG3" s="160"/>
    </row>
    <row r="4" spans="1:33" ht="30" customHeight="1">
      <c r="A4" s="161">
        <v>1</v>
      </c>
      <c r="B4" s="162" t="s">
        <v>60</v>
      </c>
      <c r="C4" s="162" t="s">
        <v>788</v>
      </c>
      <c r="D4" s="163" t="s">
        <v>1001</v>
      </c>
      <c r="E4" s="161" t="s">
        <v>1002</v>
      </c>
      <c r="F4" s="164">
        <v>2024</v>
      </c>
      <c r="G4" s="164" t="str">
        <f t="shared" ref="G4:G32" si="0">CONCATENATE(E4," ",F4)</f>
        <v>Bangda 2024</v>
      </c>
      <c r="H4" s="164">
        <v>6583.0329100225208</v>
      </c>
      <c r="I4" s="164">
        <v>6863.9931785423832</v>
      </c>
      <c r="J4" s="164">
        <v>39287.262142291132</v>
      </c>
      <c r="K4" s="164">
        <v>6863.9024920968614</v>
      </c>
      <c r="L4" s="165"/>
      <c r="M4" s="164">
        <v>6826.5789828543966</v>
      </c>
      <c r="N4" s="164">
        <v>37.414195687986556</v>
      </c>
      <c r="O4" s="164">
        <v>37.323509242464752</v>
      </c>
      <c r="P4" s="164">
        <v>12.303896192136431</v>
      </c>
      <c r="Q4" s="164">
        <v>0</v>
      </c>
      <c r="R4" s="164">
        <v>21.994677312152731</v>
      </c>
      <c r="S4" s="164">
        <v>0</v>
      </c>
      <c r="T4" s="164">
        <v>3.1156221836973979</v>
      </c>
      <c r="U4" s="165">
        <f t="shared" ref="U4:U21" si="1">SUM(M4:N4)</f>
        <v>6863.9931785423832</v>
      </c>
      <c r="V4" s="166">
        <v>45309</v>
      </c>
      <c r="W4" s="167" t="s">
        <v>1003</v>
      </c>
      <c r="X4" s="168" t="s">
        <v>1004</v>
      </c>
      <c r="Y4" s="166"/>
      <c r="Z4" s="169" t="s">
        <v>1005</v>
      </c>
      <c r="AA4" s="161"/>
      <c r="AB4" s="170"/>
      <c r="AC4" s="170"/>
      <c r="AD4" s="170"/>
      <c r="AE4" s="170"/>
      <c r="AF4" s="170"/>
      <c r="AG4" s="170"/>
    </row>
    <row r="5" spans="1:33" ht="30" customHeight="1">
      <c r="A5" s="161">
        <v>2</v>
      </c>
      <c r="B5" s="162" t="s">
        <v>60</v>
      </c>
      <c r="C5" s="162" t="s">
        <v>823</v>
      </c>
      <c r="D5" s="163" t="s">
        <v>1006</v>
      </c>
      <c r="E5" s="161" t="s">
        <v>1002</v>
      </c>
      <c r="F5" s="164">
        <v>2024</v>
      </c>
      <c r="G5" s="164" t="str">
        <f t="shared" si="0"/>
        <v>Bangda 2024</v>
      </c>
      <c r="H5" s="164">
        <v>16874.578044861577</v>
      </c>
      <c r="I5" s="164">
        <v>16950.724870398204</v>
      </c>
      <c r="J5" s="164">
        <v>55502.122630829312</v>
      </c>
      <c r="K5" s="164">
        <v>16486.926882980264</v>
      </c>
      <c r="L5" s="165"/>
      <c r="M5" s="164">
        <v>15279.450638958866</v>
      </c>
      <c r="N5" s="164">
        <v>1671.274231439339</v>
      </c>
      <c r="O5" s="164">
        <v>1207.4762440213558</v>
      </c>
      <c r="P5" s="164">
        <v>1163.0429919842456</v>
      </c>
      <c r="Q5" s="164">
        <v>0</v>
      </c>
      <c r="R5" s="164">
        <v>486.21518030840861</v>
      </c>
      <c r="S5" s="164">
        <v>0</v>
      </c>
      <c r="T5" s="164">
        <v>22.016059146689969</v>
      </c>
      <c r="U5" s="165">
        <f t="shared" si="1"/>
        <v>16950.724870398204</v>
      </c>
      <c r="V5" s="166">
        <v>45309</v>
      </c>
      <c r="W5" s="167" t="s">
        <v>1003</v>
      </c>
      <c r="X5" s="168" t="s">
        <v>1004</v>
      </c>
      <c r="Y5" s="166"/>
      <c r="Z5" s="169" t="s">
        <v>1005</v>
      </c>
      <c r="AA5" s="161"/>
      <c r="AB5" s="170"/>
      <c r="AC5" s="170"/>
      <c r="AD5" s="170"/>
      <c r="AE5" s="170"/>
      <c r="AF5" s="170"/>
      <c r="AG5" s="170"/>
    </row>
    <row r="6" spans="1:33" ht="30" customHeight="1">
      <c r="A6" s="161">
        <v>3</v>
      </c>
      <c r="B6" s="162" t="s">
        <v>58</v>
      </c>
      <c r="C6" s="162" t="s">
        <v>1007</v>
      </c>
      <c r="D6" s="163" t="s">
        <v>1008</v>
      </c>
      <c r="E6" s="161" t="s">
        <v>1009</v>
      </c>
      <c r="F6" s="164">
        <v>2024</v>
      </c>
      <c r="G6" s="164" t="str">
        <f t="shared" si="0"/>
        <v>Linsek 2024</v>
      </c>
      <c r="H6" s="164">
        <v>2135.7595323847318</v>
      </c>
      <c r="I6" s="165"/>
      <c r="J6" s="164">
        <v>10889.264799879491</v>
      </c>
      <c r="K6" s="164">
        <v>546.60779231256868</v>
      </c>
      <c r="L6" s="165"/>
      <c r="M6" s="164">
        <v>508.80221653527582</v>
      </c>
      <c r="N6" s="164">
        <v>1626.9573158494557</v>
      </c>
      <c r="O6" s="164">
        <v>37.80557577729288</v>
      </c>
      <c r="P6" s="164">
        <v>455.0193783204262</v>
      </c>
      <c r="Q6" s="164">
        <v>0</v>
      </c>
      <c r="R6" s="164">
        <v>952.28269851072776</v>
      </c>
      <c r="S6" s="164">
        <v>58.556322297391425</v>
      </c>
      <c r="T6" s="164">
        <v>161.09891672091041</v>
      </c>
      <c r="U6" s="165">
        <f t="shared" si="1"/>
        <v>2135.7595323847313</v>
      </c>
      <c r="V6" s="166">
        <v>45327</v>
      </c>
      <c r="W6" s="167" t="s">
        <v>1010</v>
      </c>
      <c r="X6" s="168" t="s">
        <v>1011</v>
      </c>
      <c r="Y6" s="166">
        <v>45327</v>
      </c>
      <c r="Z6" s="169" t="s">
        <v>1005</v>
      </c>
      <c r="AA6" s="161"/>
      <c r="AB6" s="170"/>
      <c r="AC6" s="170"/>
      <c r="AD6" s="170"/>
      <c r="AE6" s="170"/>
      <c r="AF6" s="170"/>
      <c r="AG6" s="170"/>
    </row>
    <row r="7" spans="1:33" ht="30" customHeight="1">
      <c r="A7" s="161">
        <v>4</v>
      </c>
      <c r="B7" s="162" t="s">
        <v>1012</v>
      </c>
      <c r="C7" s="162" t="s">
        <v>342</v>
      </c>
      <c r="D7" s="163" t="s">
        <v>1013</v>
      </c>
      <c r="E7" s="161" t="s">
        <v>1009</v>
      </c>
      <c r="F7" s="164">
        <v>2024</v>
      </c>
      <c r="G7" s="164" t="str">
        <f t="shared" si="0"/>
        <v>Linsek 2024</v>
      </c>
      <c r="H7" s="164">
        <v>2440.2012887268197</v>
      </c>
      <c r="I7" s="165"/>
      <c r="J7" s="164">
        <v>302117.31439803715</v>
      </c>
      <c r="K7" s="164">
        <v>3234.5550008706091</v>
      </c>
      <c r="L7" s="165"/>
      <c r="M7" s="164">
        <v>2260.7565763306047</v>
      </c>
      <c r="N7" s="164">
        <v>179.44471239621515</v>
      </c>
      <c r="O7" s="164">
        <v>973.79842454000448</v>
      </c>
      <c r="P7" s="164">
        <v>7.9788101272120002</v>
      </c>
      <c r="Q7" s="164">
        <v>0.209823503306</v>
      </c>
      <c r="R7" s="164">
        <v>0.92428718637825102</v>
      </c>
      <c r="S7" s="164">
        <v>0</v>
      </c>
      <c r="T7" s="164">
        <v>170.33179157931892</v>
      </c>
      <c r="U7" s="165">
        <f t="shared" si="1"/>
        <v>2440.2012887268197</v>
      </c>
      <c r="V7" s="166">
        <v>45328</v>
      </c>
      <c r="W7" s="167" t="s">
        <v>1014</v>
      </c>
      <c r="X7" s="168" t="s">
        <v>1004</v>
      </c>
      <c r="Y7" s="166"/>
      <c r="Z7" s="169" t="s">
        <v>1005</v>
      </c>
      <c r="AA7" s="161"/>
      <c r="AB7" s="170"/>
      <c r="AC7" s="170"/>
      <c r="AD7" s="170"/>
      <c r="AE7" s="170"/>
      <c r="AF7" s="170"/>
      <c r="AG7" s="170"/>
    </row>
    <row r="8" spans="1:33" ht="30" customHeight="1">
      <c r="A8" s="161">
        <v>5</v>
      </c>
      <c r="B8" s="162" t="s">
        <v>46</v>
      </c>
      <c r="C8" s="162" t="s">
        <v>406</v>
      </c>
      <c r="D8" s="163" t="s">
        <v>1015</v>
      </c>
      <c r="E8" s="161" t="s">
        <v>1009</v>
      </c>
      <c r="F8" s="164">
        <v>2024</v>
      </c>
      <c r="G8" s="164" t="str">
        <f t="shared" si="0"/>
        <v>Linsek 2024</v>
      </c>
      <c r="H8" s="164">
        <v>46141.358060829763</v>
      </c>
      <c r="I8" s="164">
        <v>35312.852584637985</v>
      </c>
      <c r="J8" s="164">
        <v>299177.84453293862</v>
      </c>
      <c r="K8" s="164">
        <v>38183.430648440364</v>
      </c>
      <c r="L8" s="165"/>
      <c r="M8" s="164">
        <v>34514.048821396624</v>
      </c>
      <c r="N8" s="164">
        <v>798.80376324135875</v>
      </c>
      <c r="O8" s="164">
        <v>3669.3818270436996</v>
      </c>
      <c r="P8" s="164">
        <v>163.00657925995864</v>
      </c>
      <c r="Q8" s="164">
        <v>0.92916213995202002</v>
      </c>
      <c r="R8" s="164">
        <v>135.17420326748294</v>
      </c>
      <c r="S8" s="164">
        <v>160.73821233780905</v>
      </c>
      <c r="T8" s="164">
        <v>338.955606236157</v>
      </c>
      <c r="U8" s="165">
        <f t="shared" si="1"/>
        <v>35312.852584637985</v>
      </c>
      <c r="V8" s="166">
        <v>45328</v>
      </c>
      <c r="W8" s="167" t="s">
        <v>1014</v>
      </c>
      <c r="X8" s="168" t="s">
        <v>1004</v>
      </c>
      <c r="Y8" s="166"/>
      <c r="Z8" s="169" t="s">
        <v>1005</v>
      </c>
      <c r="AA8" s="161"/>
      <c r="AB8" s="170"/>
      <c r="AC8" s="170"/>
      <c r="AD8" s="170"/>
      <c r="AE8" s="170"/>
      <c r="AF8" s="170"/>
      <c r="AG8" s="170"/>
    </row>
    <row r="9" spans="1:33" ht="30" customHeight="1">
      <c r="A9" s="161">
        <v>6</v>
      </c>
      <c r="B9" s="162" t="s">
        <v>46</v>
      </c>
      <c r="C9" s="162" t="s">
        <v>447</v>
      </c>
      <c r="D9" s="163" t="s">
        <v>1016</v>
      </c>
      <c r="E9" s="161" t="s">
        <v>1002</v>
      </c>
      <c r="F9" s="164">
        <v>2024</v>
      </c>
      <c r="G9" s="164" t="str">
        <f t="shared" si="0"/>
        <v>Bangda 2024</v>
      </c>
      <c r="H9" s="164">
        <v>45204.819123050991</v>
      </c>
      <c r="I9" s="164">
        <v>40347.976628117183</v>
      </c>
      <c r="J9" s="164">
        <v>270683.82672699378</v>
      </c>
      <c r="K9" s="164">
        <v>40480.886239361811</v>
      </c>
      <c r="L9" s="165"/>
      <c r="M9" s="164">
        <v>37553.65539628332</v>
      </c>
      <c r="N9" s="164">
        <v>2794.3212318338637</v>
      </c>
      <c r="O9" s="164">
        <v>2927.2308430784888</v>
      </c>
      <c r="P9" s="164">
        <v>1111.7562382487522</v>
      </c>
      <c r="Q9" s="164">
        <v>12.24793700884951</v>
      </c>
      <c r="R9" s="164">
        <v>271.51848846560313</v>
      </c>
      <c r="S9" s="164">
        <v>0</v>
      </c>
      <c r="T9" s="164">
        <v>1398.7985681106584</v>
      </c>
      <c r="U9" s="165">
        <f t="shared" si="1"/>
        <v>40347.976628117183</v>
      </c>
      <c r="V9" s="166">
        <v>45329</v>
      </c>
      <c r="W9" s="167" t="s">
        <v>1017</v>
      </c>
      <c r="X9" s="168" t="s">
        <v>1004</v>
      </c>
      <c r="Y9" s="166"/>
      <c r="Z9" s="169" t="s">
        <v>1005</v>
      </c>
      <c r="AA9" s="161"/>
      <c r="AB9" s="170"/>
      <c r="AC9" s="170"/>
      <c r="AD9" s="170"/>
      <c r="AE9" s="170"/>
      <c r="AF9" s="170"/>
      <c r="AG9" s="170"/>
    </row>
    <row r="10" spans="1:33" ht="30" customHeight="1">
      <c r="A10" s="161">
        <v>7</v>
      </c>
      <c r="B10" s="162" t="s">
        <v>53</v>
      </c>
      <c r="C10" s="162" t="s">
        <v>656</v>
      </c>
      <c r="D10" s="163" t="s">
        <v>1018</v>
      </c>
      <c r="E10" s="161" t="s">
        <v>1009</v>
      </c>
      <c r="F10" s="164">
        <v>2024</v>
      </c>
      <c r="G10" s="164" t="str">
        <f t="shared" si="0"/>
        <v>Linsek 2024</v>
      </c>
      <c r="H10" s="164">
        <v>34890.873071035952</v>
      </c>
      <c r="I10" s="164">
        <v>15377</v>
      </c>
      <c r="J10" s="164">
        <v>872546.64783437643</v>
      </c>
      <c r="K10" s="164">
        <v>15696.322606804473</v>
      </c>
      <c r="L10" s="165"/>
      <c r="M10" s="164">
        <v>5773.1079479719192</v>
      </c>
      <c r="N10" s="171">
        <v>5274.6873229593011</v>
      </c>
      <c r="O10" s="164">
        <v>9923.2146588325522</v>
      </c>
      <c r="P10" s="164">
        <v>4426.2559644672956</v>
      </c>
      <c r="Q10" s="164">
        <v>0</v>
      </c>
      <c r="R10" s="164">
        <v>564.33587801891417</v>
      </c>
      <c r="S10" s="164">
        <v>0</v>
      </c>
      <c r="T10" s="164">
        <v>284.09548047308272</v>
      </c>
      <c r="U10" s="165">
        <f t="shared" si="1"/>
        <v>11047.795270931219</v>
      </c>
      <c r="V10" s="166">
        <v>45343</v>
      </c>
      <c r="W10" s="167" t="s">
        <v>1003</v>
      </c>
      <c r="X10" s="168" t="s">
        <v>1004</v>
      </c>
      <c r="Y10" s="166"/>
      <c r="Z10" s="169" t="s">
        <v>1005</v>
      </c>
      <c r="AA10" s="161"/>
      <c r="AB10" s="170"/>
      <c r="AC10" s="170"/>
      <c r="AD10" s="170"/>
      <c r="AE10" s="170"/>
      <c r="AF10" s="170"/>
      <c r="AG10" s="170"/>
    </row>
    <row r="11" spans="1:33" ht="30" customHeight="1">
      <c r="A11" s="161">
        <v>8</v>
      </c>
      <c r="B11" s="162" t="s">
        <v>63</v>
      </c>
      <c r="C11" s="162" t="s">
        <v>785</v>
      </c>
      <c r="D11" s="163" t="s">
        <v>1019</v>
      </c>
      <c r="E11" s="161" t="s">
        <v>1009</v>
      </c>
      <c r="F11" s="164">
        <v>2024</v>
      </c>
      <c r="G11" s="164" t="str">
        <f t="shared" si="0"/>
        <v>Linsek 2024</v>
      </c>
      <c r="H11" s="164">
        <v>811.96035473697577</v>
      </c>
      <c r="I11" s="165"/>
      <c r="J11" s="164">
        <v>290220.12350081746</v>
      </c>
      <c r="K11" s="164">
        <v>847.27035793805351</v>
      </c>
      <c r="L11" s="165"/>
      <c r="M11" s="164">
        <v>630.46388177275583</v>
      </c>
      <c r="N11" s="164">
        <v>181.49647296421992</v>
      </c>
      <c r="O11" s="164">
        <v>216.80647616529765</v>
      </c>
      <c r="P11" s="164">
        <v>79.512577631824385</v>
      </c>
      <c r="Q11" s="164">
        <v>0</v>
      </c>
      <c r="R11" s="164">
        <v>19.889756129218892</v>
      </c>
      <c r="S11" s="164">
        <v>0</v>
      </c>
      <c r="T11" s="164">
        <v>82.09413920317661</v>
      </c>
      <c r="U11" s="165">
        <f t="shared" si="1"/>
        <v>811.96035473697577</v>
      </c>
      <c r="V11" s="166">
        <v>45343</v>
      </c>
      <c r="W11" s="167" t="s">
        <v>1003</v>
      </c>
      <c r="X11" s="168" t="s">
        <v>1004</v>
      </c>
      <c r="Y11" s="166"/>
      <c r="Z11" s="169" t="s">
        <v>1005</v>
      </c>
      <c r="AA11" s="161"/>
      <c r="AB11" s="170"/>
      <c r="AC11" s="170"/>
      <c r="AD11" s="170"/>
      <c r="AE11" s="170"/>
      <c r="AF11" s="170"/>
      <c r="AG11" s="170"/>
    </row>
    <row r="12" spans="1:33" ht="30" customHeight="1">
      <c r="A12" s="161">
        <v>9</v>
      </c>
      <c r="B12" s="162" t="s">
        <v>65</v>
      </c>
      <c r="C12" s="162" t="s">
        <v>886</v>
      </c>
      <c r="D12" s="163" t="s">
        <v>1020</v>
      </c>
      <c r="E12" s="161" t="s">
        <v>1009</v>
      </c>
      <c r="F12" s="164">
        <v>2024</v>
      </c>
      <c r="G12" s="164" t="str">
        <f t="shared" si="0"/>
        <v>Linsek 2024</v>
      </c>
      <c r="H12" s="164">
        <v>1513.2007068925227</v>
      </c>
      <c r="I12" s="165"/>
      <c r="J12" s="164">
        <v>227720.46878983741</v>
      </c>
      <c r="K12" s="164">
        <v>2628.6777382804034</v>
      </c>
      <c r="L12" s="165"/>
      <c r="M12" s="164">
        <v>862.25322219501527</v>
      </c>
      <c r="N12" s="164">
        <v>650.94748469750755</v>
      </c>
      <c r="O12" s="164">
        <v>1766.4245160853882</v>
      </c>
      <c r="P12" s="164">
        <v>3.9116254315900001</v>
      </c>
      <c r="Q12" s="164">
        <v>0</v>
      </c>
      <c r="R12" s="164">
        <v>584.48897784450855</v>
      </c>
      <c r="S12" s="164">
        <v>0</v>
      </c>
      <c r="T12" s="164">
        <v>62.546881421409111</v>
      </c>
      <c r="U12" s="165">
        <f t="shared" si="1"/>
        <v>1513.2007068925227</v>
      </c>
      <c r="V12" s="166">
        <v>45343</v>
      </c>
      <c r="W12" s="167" t="s">
        <v>1003</v>
      </c>
      <c r="X12" s="168" t="s">
        <v>1004</v>
      </c>
      <c r="Y12" s="166"/>
      <c r="Z12" s="169" t="s">
        <v>1005</v>
      </c>
      <c r="AA12" s="161"/>
      <c r="AB12" s="170"/>
      <c r="AC12" s="170"/>
      <c r="AD12" s="170"/>
      <c r="AE12" s="170"/>
      <c r="AF12" s="170"/>
      <c r="AG12" s="170"/>
    </row>
    <row r="13" spans="1:33" ht="30" customHeight="1">
      <c r="A13" s="161">
        <v>10</v>
      </c>
      <c r="B13" s="162" t="s">
        <v>1021</v>
      </c>
      <c r="C13" s="162" t="s">
        <v>624</v>
      </c>
      <c r="D13" s="163" t="s">
        <v>1022</v>
      </c>
      <c r="E13" s="161" t="s">
        <v>1009</v>
      </c>
      <c r="F13" s="164">
        <v>2024</v>
      </c>
      <c r="G13" s="164" t="str">
        <f t="shared" si="0"/>
        <v>Linsek 2024</v>
      </c>
      <c r="H13" s="164">
        <v>7035.1846966797157</v>
      </c>
      <c r="I13" s="165"/>
      <c r="J13" s="164">
        <v>139783.06456471441</v>
      </c>
      <c r="K13" s="164">
        <v>10202.227176425738</v>
      </c>
      <c r="L13" s="165"/>
      <c r="M13" s="164">
        <v>6705.5195676930562</v>
      </c>
      <c r="N13" s="164">
        <v>329.66512898665934</v>
      </c>
      <c r="O13" s="164">
        <v>3496.7076087326823</v>
      </c>
      <c r="P13" s="164">
        <v>48.425027065360638</v>
      </c>
      <c r="Q13" s="164">
        <v>0</v>
      </c>
      <c r="R13" s="164">
        <v>130.77693095363992</v>
      </c>
      <c r="S13" s="164">
        <v>86.856632422209998</v>
      </c>
      <c r="T13" s="164">
        <v>63.606538545448835</v>
      </c>
      <c r="U13" s="165">
        <f t="shared" si="1"/>
        <v>7035.1846966797157</v>
      </c>
      <c r="V13" s="166">
        <v>45343</v>
      </c>
      <c r="W13" s="167" t="s">
        <v>1003</v>
      </c>
      <c r="X13" s="168" t="s">
        <v>1004</v>
      </c>
      <c r="Y13" s="166"/>
      <c r="Z13" s="169" t="s">
        <v>1005</v>
      </c>
      <c r="AA13" s="161"/>
      <c r="AB13" s="170"/>
      <c r="AC13" s="170"/>
      <c r="AD13" s="170"/>
      <c r="AE13" s="170"/>
      <c r="AF13" s="170"/>
      <c r="AG13" s="170"/>
    </row>
    <row r="14" spans="1:33" ht="30" customHeight="1">
      <c r="A14" s="161">
        <v>11</v>
      </c>
      <c r="B14" s="162" t="s">
        <v>1021</v>
      </c>
      <c r="C14" s="162" t="s">
        <v>616</v>
      </c>
      <c r="D14" s="163" t="s">
        <v>1023</v>
      </c>
      <c r="E14" s="161" t="s">
        <v>1009</v>
      </c>
      <c r="F14" s="164">
        <v>2024</v>
      </c>
      <c r="G14" s="164" t="str">
        <f t="shared" si="0"/>
        <v>Linsek 2024</v>
      </c>
      <c r="H14" s="164">
        <v>4837.4699033588849</v>
      </c>
      <c r="I14" s="164">
        <v>21787.460000000003</v>
      </c>
      <c r="J14" s="164">
        <v>111198.83338131498</v>
      </c>
      <c r="K14" s="164">
        <v>3985.3359992981796</v>
      </c>
      <c r="L14" s="165"/>
      <c r="M14" s="164">
        <v>3805.878191487091</v>
      </c>
      <c r="N14" s="171">
        <v>17895.706239044823</v>
      </c>
      <c r="O14" s="164">
        <v>179.45780781108786</v>
      </c>
      <c r="P14" s="164">
        <v>17888.163809341244</v>
      </c>
      <c r="Q14" s="164">
        <v>0</v>
      </c>
      <c r="R14" s="164">
        <v>0.38585486288002502</v>
      </c>
      <c r="S14" s="164">
        <v>0</v>
      </c>
      <c r="T14" s="164">
        <v>7.1565748406452983</v>
      </c>
      <c r="U14" s="165">
        <f t="shared" si="1"/>
        <v>21701.584430531915</v>
      </c>
      <c r="V14" s="166">
        <v>45343</v>
      </c>
      <c r="W14" s="167" t="s">
        <v>1003</v>
      </c>
      <c r="X14" s="168" t="s">
        <v>1004</v>
      </c>
      <c r="Y14" s="166"/>
      <c r="Z14" s="169" t="s">
        <v>1005</v>
      </c>
      <c r="AA14" s="161"/>
      <c r="AB14" s="170"/>
      <c r="AC14" s="170"/>
      <c r="AD14" s="170"/>
      <c r="AE14" s="170"/>
      <c r="AF14" s="170"/>
      <c r="AG14" s="170"/>
    </row>
    <row r="15" spans="1:33" ht="30" customHeight="1">
      <c r="A15" s="161">
        <v>12</v>
      </c>
      <c r="B15" s="162" t="s">
        <v>66</v>
      </c>
      <c r="C15" s="162" t="s">
        <v>902</v>
      </c>
      <c r="D15" s="163" t="s">
        <v>1024</v>
      </c>
      <c r="E15" s="161" t="s">
        <v>1009</v>
      </c>
      <c r="F15" s="164">
        <v>2024</v>
      </c>
      <c r="G15" s="164" t="str">
        <f t="shared" si="0"/>
        <v>Linsek 2024</v>
      </c>
      <c r="H15" s="164">
        <v>582.95499694728517</v>
      </c>
      <c r="I15" s="165"/>
      <c r="J15" s="164">
        <v>1994328.5515528899</v>
      </c>
      <c r="K15" s="164">
        <v>3158.6709241074286</v>
      </c>
      <c r="L15" s="165"/>
      <c r="M15" s="164">
        <v>462.25437221938353</v>
      </c>
      <c r="N15" s="164">
        <v>120.70062472790161</v>
      </c>
      <c r="O15" s="164">
        <v>2696.416551888045</v>
      </c>
      <c r="P15" s="164">
        <v>0</v>
      </c>
      <c r="Q15" s="164">
        <v>0</v>
      </c>
      <c r="R15" s="164">
        <v>57.548286033701807</v>
      </c>
      <c r="S15" s="164">
        <v>0</v>
      </c>
      <c r="T15" s="164">
        <v>63.152338694199834</v>
      </c>
      <c r="U15" s="165">
        <f t="shared" si="1"/>
        <v>582.95499694728517</v>
      </c>
      <c r="V15" s="166">
        <v>45343</v>
      </c>
      <c r="W15" s="167" t="s">
        <v>1003</v>
      </c>
      <c r="X15" s="168" t="s">
        <v>1004</v>
      </c>
      <c r="Y15" s="166"/>
      <c r="Z15" s="169" t="s">
        <v>1005</v>
      </c>
      <c r="AA15" s="161"/>
      <c r="AB15" s="170"/>
      <c r="AC15" s="170"/>
      <c r="AD15" s="170"/>
      <c r="AE15" s="170"/>
      <c r="AF15" s="170"/>
      <c r="AG15" s="170"/>
    </row>
    <row r="16" spans="1:33" ht="30" customHeight="1">
      <c r="A16" s="161">
        <v>13</v>
      </c>
      <c r="B16" s="162" t="s">
        <v>56</v>
      </c>
      <c r="C16" s="162" t="s">
        <v>728</v>
      </c>
      <c r="D16" s="163" t="s">
        <v>1025</v>
      </c>
      <c r="E16" s="161" t="s">
        <v>1009</v>
      </c>
      <c r="F16" s="164">
        <v>2024</v>
      </c>
      <c r="G16" s="164" t="str">
        <f t="shared" si="0"/>
        <v>Linsek 2024</v>
      </c>
      <c r="H16" s="164">
        <v>8856.156773851164</v>
      </c>
      <c r="I16" s="164">
        <v>11409.682268046976</v>
      </c>
      <c r="J16" s="164">
        <v>203257.08120287745</v>
      </c>
      <c r="K16" s="164">
        <v>8630.2973185243973</v>
      </c>
      <c r="L16" s="165"/>
      <c r="M16" s="164">
        <v>5791.9546828277462</v>
      </c>
      <c r="N16" s="171">
        <v>5617.7275852192297</v>
      </c>
      <c r="O16" s="164">
        <v>2838.3426356966379</v>
      </c>
      <c r="P16" s="164">
        <v>1617.6925238219762</v>
      </c>
      <c r="Q16" s="164">
        <v>1.7137693279899999</v>
      </c>
      <c r="R16" s="164">
        <v>1650.4795766806917</v>
      </c>
      <c r="S16" s="164">
        <v>348.61248204768998</v>
      </c>
      <c r="T16" s="164">
        <v>1999.2292333408873</v>
      </c>
      <c r="U16" s="165">
        <f t="shared" si="1"/>
        <v>11409.682268046976</v>
      </c>
      <c r="V16" s="166">
        <v>45359</v>
      </c>
      <c r="W16" s="167" t="s">
        <v>1003</v>
      </c>
      <c r="X16" s="168" t="s">
        <v>1026</v>
      </c>
      <c r="Y16" s="166">
        <v>45359</v>
      </c>
      <c r="Z16" s="169" t="s">
        <v>1005</v>
      </c>
      <c r="AA16" s="161"/>
      <c r="AB16" s="170"/>
      <c r="AC16" s="170"/>
      <c r="AD16" s="170"/>
      <c r="AE16" s="170"/>
      <c r="AF16" s="170"/>
      <c r="AG16" s="170"/>
    </row>
    <row r="17" spans="1:33" ht="30" customHeight="1">
      <c r="A17" s="161">
        <v>14</v>
      </c>
      <c r="B17" s="162" t="s">
        <v>56</v>
      </c>
      <c r="C17" s="162" t="s">
        <v>722</v>
      </c>
      <c r="D17" s="163" t="s">
        <v>1027</v>
      </c>
      <c r="E17" s="161" t="s">
        <v>1009</v>
      </c>
      <c r="F17" s="164">
        <v>2024</v>
      </c>
      <c r="G17" s="164" t="str">
        <f t="shared" si="0"/>
        <v>Linsek 2024</v>
      </c>
      <c r="H17" s="164">
        <v>171.94105105973554</v>
      </c>
      <c r="I17" s="164"/>
      <c r="J17" s="164">
        <v>1361116.8641674696</v>
      </c>
      <c r="K17" s="164">
        <v>3847.4106279925109</v>
      </c>
      <c r="L17" s="165"/>
      <c r="M17" s="164">
        <v>107.88848354882001</v>
      </c>
      <c r="N17" s="171">
        <v>64.052567510915537</v>
      </c>
      <c r="O17" s="164">
        <v>3739.5221444436906</v>
      </c>
      <c r="P17" s="164">
        <v>16.921988036273252</v>
      </c>
      <c r="Q17" s="164">
        <v>0</v>
      </c>
      <c r="R17" s="164">
        <v>45.014480396066915</v>
      </c>
      <c r="S17" s="164">
        <v>0</v>
      </c>
      <c r="T17" s="164">
        <v>2.1160990785753699</v>
      </c>
      <c r="U17" s="165">
        <f t="shared" si="1"/>
        <v>171.94105105973554</v>
      </c>
      <c r="V17" s="166">
        <v>45359</v>
      </c>
      <c r="W17" s="167" t="s">
        <v>1003</v>
      </c>
      <c r="X17" s="168" t="s">
        <v>1026</v>
      </c>
      <c r="Y17" s="166">
        <v>45359</v>
      </c>
      <c r="Z17" s="169" t="s">
        <v>1005</v>
      </c>
      <c r="AA17" s="161"/>
      <c r="AB17" s="170"/>
      <c r="AC17" s="170"/>
      <c r="AD17" s="170"/>
      <c r="AE17" s="170"/>
      <c r="AF17" s="170"/>
      <c r="AG17" s="170"/>
    </row>
    <row r="18" spans="1:33" ht="30" customHeight="1">
      <c r="A18" s="161">
        <v>15</v>
      </c>
      <c r="B18" s="162" t="s">
        <v>54</v>
      </c>
      <c r="C18" s="162" t="s">
        <v>693</v>
      </c>
      <c r="D18" s="163" t="s">
        <v>1028</v>
      </c>
      <c r="E18" s="161" t="s">
        <v>1009</v>
      </c>
      <c r="F18" s="164">
        <v>2024</v>
      </c>
      <c r="G18" s="164" t="str">
        <f t="shared" si="0"/>
        <v>Linsek 2024</v>
      </c>
      <c r="H18" s="164">
        <v>7655.3150975758017</v>
      </c>
      <c r="I18" s="164"/>
      <c r="J18" s="164">
        <v>624769.94450384041</v>
      </c>
      <c r="K18" s="164">
        <v>5814.6980511442962</v>
      </c>
      <c r="L18" s="165"/>
      <c r="M18" s="164">
        <v>3518.575966787233</v>
      </c>
      <c r="N18" s="171">
        <v>4136.7391307885691</v>
      </c>
      <c r="O18" s="164">
        <v>2296.1220843570636</v>
      </c>
      <c r="P18" s="164">
        <v>486.24249183651739</v>
      </c>
      <c r="Q18" s="164">
        <v>11.03894590444</v>
      </c>
      <c r="R18" s="164">
        <v>293.81097196853125</v>
      </c>
      <c r="S18" s="164">
        <v>0</v>
      </c>
      <c r="T18" s="164">
        <v>3345.6467210790797</v>
      </c>
      <c r="U18" s="165">
        <f t="shared" si="1"/>
        <v>7655.3150975758017</v>
      </c>
      <c r="V18" s="166">
        <v>45359</v>
      </c>
      <c r="W18" s="167" t="s">
        <v>1003</v>
      </c>
      <c r="X18" s="168" t="s">
        <v>1026</v>
      </c>
      <c r="Y18" s="166">
        <v>45359</v>
      </c>
      <c r="Z18" s="169" t="s">
        <v>1005</v>
      </c>
      <c r="AA18" s="161"/>
      <c r="AB18" s="170"/>
      <c r="AC18" s="170"/>
      <c r="AD18" s="170"/>
      <c r="AE18" s="170"/>
      <c r="AF18" s="170"/>
      <c r="AG18" s="170"/>
    </row>
    <row r="19" spans="1:33" ht="30" customHeight="1">
      <c r="A19" s="161">
        <v>16</v>
      </c>
      <c r="B19" s="162" t="s">
        <v>54</v>
      </c>
      <c r="C19" s="162" t="s">
        <v>704</v>
      </c>
      <c r="D19" s="163" t="s">
        <v>1029</v>
      </c>
      <c r="E19" s="161" t="s">
        <v>1009</v>
      </c>
      <c r="F19" s="164">
        <v>2024</v>
      </c>
      <c r="G19" s="164" t="str">
        <f t="shared" si="0"/>
        <v>Linsek 2024</v>
      </c>
      <c r="H19" s="164">
        <v>2934.3114051482162</v>
      </c>
      <c r="I19" s="164"/>
      <c r="J19" s="164">
        <v>948034.4168191629</v>
      </c>
      <c r="K19" s="164">
        <v>2034.4895226727924</v>
      </c>
      <c r="L19" s="165"/>
      <c r="M19" s="164">
        <v>1634.9768425791797</v>
      </c>
      <c r="N19" s="171">
        <v>1299.3345625690363</v>
      </c>
      <c r="O19" s="164">
        <v>399.5126800936128</v>
      </c>
      <c r="P19" s="164">
        <v>23.412661047101203</v>
      </c>
      <c r="Q19" s="164">
        <v>0</v>
      </c>
      <c r="R19" s="164">
        <v>28.215953194044001</v>
      </c>
      <c r="S19" s="164">
        <v>0</v>
      </c>
      <c r="T19" s="164">
        <v>1247.7059483278908</v>
      </c>
      <c r="U19" s="165">
        <f t="shared" si="1"/>
        <v>2934.3114051482162</v>
      </c>
      <c r="V19" s="166">
        <v>45359</v>
      </c>
      <c r="W19" s="167" t="s">
        <v>1003</v>
      </c>
      <c r="X19" s="168" t="s">
        <v>1026</v>
      </c>
      <c r="Y19" s="166">
        <v>45359</v>
      </c>
      <c r="Z19" s="169" t="s">
        <v>1005</v>
      </c>
      <c r="AA19" s="161"/>
      <c r="AB19" s="170"/>
      <c r="AC19" s="170"/>
      <c r="AD19" s="170"/>
      <c r="AE19" s="170"/>
      <c r="AF19" s="170"/>
      <c r="AG19" s="170"/>
    </row>
    <row r="20" spans="1:33" ht="30" customHeight="1">
      <c r="A20" s="161">
        <v>17</v>
      </c>
      <c r="B20" s="162" t="s">
        <v>54</v>
      </c>
      <c r="C20" s="162" t="s">
        <v>711</v>
      </c>
      <c r="D20" s="163" t="s">
        <v>1030</v>
      </c>
      <c r="E20" s="161" t="s">
        <v>1009</v>
      </c>
      <c r="F20" s="164">
        <v>2024</v>
      </c>
      <c r="G20" s="164" t="str">
        <f t="shared" si="0"/>
        <v>Linsek 2024</v>
      </c>
      <c r="H20" s="164">
        <v>27130.581817548038</v>
      </c>
      <c r="I20" s="164">
        <v>31956.582426233887</v>
      </c>
      <c r="J20" s="164">
        <v>965271.73754908983</v>
      </c>
      <c r="K20" s="164">
        <v>29170.68798209904</v>
      </c>
      <c r="L20" s="165"/>
      <c r="M20" s="164">
        <v>29081.880400923204</v>
      </c>
      <c r="N20" s="171">
        <v>2874.7020253106816</v>
      </c>
      <c r="O20" s="164">
        <v>88.807581175750599</v>
      </c>
      <c r="P20" s="164">
        <v>2.6578979354386805</v>
      </c>
      <c r="Q20" s="164">
        <v>0</v>
      </c>
      <c r="R20" s="164">
        <v>186.64463084225929</v>
      </c>
      <c r="S20" s="164">
        <v>0</v>
      </c>
      <c r="T20" s="164">
        <v>2685.3994965329848</v>
      </c>
      <c r="U20" s="165">
        <f t="shared" si="1"/>
        <v>31956.582426233887</v>
      </c>
      <c r="V20" s="166">
        <v>45359</v>
      </c>
      <c r="W20" s="167" t="s">
        <v>1003</v>
      </c>
      <c r="X20" s="168" t="s">
        <v>1026</v>
      </c>
      <c r="Y20" s="166">
        <v>45359</v>
      </c>
      <c r="Z20" s="169" t="s">
        <v>1005</v>
      </c>
      <c r="AA20" s="161"/>
      <c r="AB20" s="170"/>
      <c r="AC20" s="170"/>
      <c r="AD20" s="170"/>
      <c r="AE20" s="170"/>
      <c r="AF20" s="170"/>
      <c r="AG20" s="170"/>
    </row>
    <row r="21" spans="1:33" ht="30" customHeight="1">
      <c r="A21" s="161">
        <v>18</v>
      </c>
      <c r="B21" s="162" t="s">
        <v>54</v>
      </c>
      <c r="C21" s="162" t="s">
        <v>696</v>
      </c>
      <c r="D21" s="163" t="s">
        <v>1031</v>
      </c>
      <c r="E21" s="161" t="s">
        <v>1009</v>
      </c>
      <c r="F21" s="164">
        <v>2024</v>
      </c>
      <c r="G21" s="164" t="str">
        <f t="shared" si="0"/>
        <v>Linsek 2024</v>
      </c>
      <c r="H21" s="164">
        <v>1535</v>
      </c>
      <c r="I21" s="164" t="s">
        <v>1032</v>
      </c>
      <c r="J21" s="165"/>
      <c r="K21" s="165"/>
      <c r="L21" s="165" t="s">
        <v>1033</v>
      </c>
      <c r="M21" s="165"/>
      <c r="N21" s="165"/>
      <c r="O21" s="165"/>
      <c r="P21" s="165"/>
      <c r="Q21" s="165"/>
      <c r="R21" s="165"/>
      <c r="S21" s="165"/>
      <c r="T21" s="165"/>
      <c r="U21" s="165">
        <f t="shared" si="1"/>
        <v>0</v>
      </c>
      <c r="V21" s="166">
        <v>45359</v>
      </c>
      <c r="W21" s="167" t="s">
        <v>1003</v>
      </c>
      <c r="X21" s="168" t="s">
        <v>1026</v>
      </c>
      <c r="Y21" s="166">
        <v>45359</v>
      </c>
      <c r="Z21" s="169" t="s">
        <v>1005</v>
      </c>
      <c r="AA21" s="161"/>
      <c r="AB21" s="170"/>
      <c r="AC21" s="170"/>
      <c r="AD21" s="170"/>
      <c r="AE21" s="170"/>
      <c r="AF21" s="170"/>
      <c r="AG21" s="170"/>
    </row>
    <row r="22" spans="1:33" ht="30" customHeight="1">
      <c r="A22" s="161">
        <v>19</v>
      </c>
      <c r="B22" s="172" t="s">
        <v>64</v>
      </c>
      <c r="C22" s="172" t="s">
        <v>871</v>
      </c>
      <c r="D22" s="163" t="s">
        <v>1034</v>
      </c>
      <c r="E22" s="161" t="s">
        <v>1009</v>
      </c>
      <c r="F22" s="164">
        <v>2024</v>
      </c>
      <c r="G22" s="164" t="str">
        <f t="shared" si="0"/>
        <v>Linsek 2024</v>
      </c>
      <c r="H22" s="164">
        <v>0</v>
      </c>
      <c r="I22" s="165"/>
      <c r="J22" s="164">
        <v>809472.88778642041</v>
      </c>
      <c r="K22" s="164">
        <v>384.09080478800007</v>
      </c>
      <c r="L22" s="165"/>
      <c r="M22" s="165">
        <v>0</v>
      </c>
      <c r="N22" s="165">
        <v>0</v>
      </c>
      <c r="O22" s="165">
        <v>0</v>
      </c>
      <c r="P22" s="165"/>
      <c r="Q22" s="165"/>
      <c r="R22" s="165"/>
      <c r="S22" s="165"/>
      <c r="T22" s="165"/>
      <c r="U22" s="165"/>
      <c r="V22" s="166">
        <v>45365</v>
      </c>
      <c r="W22" s="167" t="s">
        <v>1017</v>
      </c>
      <c r="X22" s="168" t="s">
        <v>1004</v>
      </c>
      <c r="Y22" s="166"/>
      <c r="Z22" s="169" t="s">
        <v>1005</v>
      </c>
      <c r="AA22" s="161"/>
      <c r="AB22" s="170"/>
      <c r="AC22" s="170"/>
      <c r="AD22" s="170"/>
      <c r="AE22" s="170"/>
      <c r="AF22" s="170"/>
      <c r="AG22" s="170"/>
    </row>
    <row r="23" spans="1:33" ht="30" customHeight="1">
      <c r="A23" s="161">
        <v>20</v>
      </c>
      <c r="B23" s="172" t="s">
        <v>59</v>
      </c>
      <c r="C23" s="172" t="s">
        <v>772</v>
      </c>
      <c r="D23" s="163" t="s">
        <v>1035</v>
      </c>
      <c r="E23" s="161" t="s">
        <v>1009</v>
      </c>
      <c r="F23" s="164">
        <v>2024</v>
      </c>
      <c r="G23" s="164" t="str">
        <f t="shared" si="0"/>
        <v>Linsek 2024</v>
      </c>
      <c r="H23" s="164">
        <v>15653.906228032243</v>
      </c>
      <c r="I23" s="165"/>
      <c r="J23" s="164">
        <v>754550.77981355577</v>
      </c>
      <c r="K23" s="164">
        <v>19499.607175148161</v>
      </c>
      <c r="L23" s="165"/>
      <c r="M23" s="164">
        <v>13436.97411420521</v>
      </c>
      <c r="N23" s="171">
        <v>1862.795639647122</v>
      </c>
      <c r="O23" s="164">
        <v>6062.6330609429506</v>
      </c>
      <c r="P23" s="164">
        <v>1257.9490204995898</v>
      </c>
      <c r="Q23" s="164">
        <v>0</v>
      </c>
      <c r="R23" s="164">
        <v>49.162899409744988</v>
      </c>
      <c r="S23" s="164">
        <v>0</v>
      </c>
      <c r="T23" s="164">
        <v>555.68371973778403</v>
      </c>
      <c r="U23" s="165"/>
      <c r="V23" s="166">
        <v>45365</v>
      </c>
      <c r="W23" s="167" t="s">
        <v>1017</v>
      </c>
      <c r="X23" s="168" t="s">
        <v>1004</v>
      </c>
      <c r="Y23" s="166"/>
      <c r="Z23" s="169" t="s">
        <v>1005</v>
      </c>
      <c r="AA23" s="161"/>
      <c r="AB23" s="170"/>
      <c r="AC23" s="170"/>
      <c r="AD23" s="170"/>
      <c r="AE23" s="170"/>
      <c r="AF23" s="170"/>
      <c r="AG23" s="170"/>
    </row>
    <row r="24" spans="1:33" ht="30" customHeight="1">
      <c r="A24" s="161">
        <v>21</v>
      </c>
      <c r="B24" s="162" t="s">
        <v>34</v>
      </c>
      <c r="C24" s="162" t="s">
        <v>118</v>
      </c>
      <c r="D24" s="163" t="s">
        <v>1036</v>
      </c>
      <c r="E24" s="161" t="s">
        <v>1009</v>
      </c>
      <c r="F24" s="164">
        <v>2024</v>
      </c>
      <c r="G24" s="164" t="str">
        <f t="shared" si="0"/>
        <v>Linsek 2024</v>
      </c>
      <c r="H24" s="164">
        <v>14943.532524352771</v>
      </c>
      <c r="I24" s="164">
        <v>17301.544366276776</v>
      </c>
      <c r="J24" s="164">
        <v>179696.54318058587</v>
      </c>
      <c r="K24" s="164">
        <v>16817.720507654853</v>
      </c>
      <c r="L24" s="165"/>
      <c r="M24" s="164">
        <v>16397.944652448361</v>
      </c>
      <c r="N24" s="171">
        <v>903.59971382841456</v>
      </c>
      <c r="O24" s="164">
        <v>419.77585520646437</v>
      </c>
      <c r="P24" s="164">
        <v>0</v>
      </c>
      <c r="Q24" s="164">
        <v>240.47020175256031</v>
      </c>
      <c r="R24" s="164">
        <v>407.66268715468323</v>
      </c>
      <c r="S24" s="164">
        <v>0</v>
      </c>
      <c r="T24" s="164">
        <v>255.46682492117199</v>
      </c>
      <c r="U24" s="165">
        <f t="shared" ref="U24:U32" si="2">SUM(M24:N24)</f>
        <v>17301.544366276776</v>
      </c>
      <c r="V24" s="166">
        <v>45376</v>
      </c>
      <c r="W24" s="167" t="s">
        <v>1037</v>
      </c>
      <c r="X24" s="172" t="s">
        <v>1004</v>
      </c>
      <c r="Y24" s="166"/>
      <c r="Z24" s="169" t="s">
        <v>1005</v>
      </c>
      <c r="AA24" s="161"/>
      <c r="AB24" s="170"/>
      <c r="AC24" s="170"/>
      <c r="AD24" s="170"/>
      <c r="AE24" s="170"/>
      <c r="AF24" s="170"/>
      <c r="AG24" s="170"/>
    </row>
    <row r="25" spans="1:33" ht="30" customHeight="1">
      <c r="A25" s="161">
        <v>22</v>
      </c>
      <c r="B25" s="162" t="s">
        <v>38</v>
      </c>
      <c r="C25" s="162" t="s">
        <v>290</v>
      </c>
      <c r="D25" s="163" t="s">
        <v>1038</v>
      </c>
      <c r="E25" s="161" t="s">
        <v>1009</v>
      </c>
      <c r="F25" s="164">
        <v>2024</v>
      </c>
      <c r="G25" s="164" t="str">
        <f t="shared" si="0"/>
        <v>Linsek 2024</v>
      </c>
      <c r="H25" s="164">
        <v>7818.8543552000092</v>
      </c>
      <c r="I25" s="164">
        <v>8316.2491679545346</v>
      </c>
      <c r="J25" s="164">
        <v>500993.89314034529</v>
      </c>
      <c r="K25" s="164">
        <v>8125.7668892172924</v>
      </c>
      <c r="L25" s="165"/>
      <c r="M25" s="164">
        <v>6754.8918557464849</v>
      </c>
      <c r="N25" s="171">
        <v>1561.3573122080495</v>
      </c>
      <c r="O25" s="164">
        <v>1370.8750334708091</v>
      </c>
      <c r="P25" s="164">
        <v>0</v>
      </c>
      <c r="Q25" s="164">
        <v>0</v>
      </c>
      <c r="R25" s="164">
        <v>54.679545709318489</v>
      </c>
      <c r="S25" s="164">
        <v>0</v>
      </c>
      <c r="T25" s="164">
        <v>1506.6777664987319</v>
      </c>
      <c r="U25" s="165">
        <f t="shared" si="2"/>
        <v>8316.2491679545346</v>
      </c>
      <c r="V25" s="166">
        <v>45376</v>
      </c>
      <c r="W25" s="167" t="s">
        <v>1037</v>
      </c>
      <c r="X25" s="172" t="s">
        <v>1004</v>
      </c>
      <c r="Y25" s="166"/>
      <c r="Z25" s="169" t="s">
        <v>1005</v>
      </c>
      <c r="AA25" s="161"/>
      <c r="AB25" s="170"/>
      <c r="AC25" s="170"/>
      <c r="AD25" s="170"/>
      <c r="AE25" s="170"/>
      <c r="AF25" s="170"/>
      <c r="AG25" s="170"/>
    </row>
    <row r="26" spans="1:33" ht="30" customHeight="1">
      <c r="A26" s="161">
        <v>23</v>
      </c>
      <c r="B26" s="162" t="s">
        <v>46</v>
      </c>
      <c r="C26" s="162" t="s">
        <v>411</v>
      </c>
      <c r="D26" s="163" t="s">
        <v>1039</v>
      </c>
      <c r="E26" s="161" t="s">
        <v>1009</v>
      </c>
      <c r="F26" s="164">
        <v>2024</v>
      </c>
      <c r="G26" s="164" t="str">
        <f t="shared" si="0"/>
        <v>Linsek 2024</v>
      </c>
      <c r="H26" s="164">
        <v>53396.248232040867</v>
      </c>
      <c r="I26" s="164">
        <v>39946.731279289103</v>
      </c>
      <c r="J26" s="164">
        <v>107700.93199540167</v>
      </c>
      <c r="K26" s="164">
        <v>42285.05420358308</v>
      </c>
      <c r="L26" s="165"/>
      <c r="M26" s="164">
        <v>28578.030078457472</v>
      </c>
      <c r="N26" s="171">
        <v>11368.701200831629</v>
      </c>
      <c r="O26" s="164">
        <v>13707.024125125599</v>
      </c>
      <c r="P26" s="164">
        <v>4874.5332472352002</v>
      </c>
      <c r="Q26" s="164">
        <v>600.60140600313935</v>
      </c>
      <c r="R26" s="164">
        <v>5020.7127209538685</v>
      </c>
      <c r="S26" s="164">
        <v>37.376014629999993</v>
      </c>
      <c r="T26" s="164">
        <v>835.47781200938414</v>
      </c>
      <c r="U26" s="165">
        <f t="shared" si="2"/>
        <v>39946.731279289103</v>
      </c>
      <c r="V26" s="166">
        <v>45376</v>
      </c>
      <c r="W26" s="167" t="s">
        <v>1037</v>
      </c>
      <c r="X26" s="172" t="s">
        <v>1004</v>
      </c>
      <c r="Y26" s="166"/>
      <c r="Z26" s="169" t="s">
        <v>1005</v>
      </c>
      <c r="AA26" s="161"/>
      <c r="AB26" s="170"/>
      <c r="AC26" s="170"/>
      <c r="AD26" s="170"/>
      <c r="AE26" s="170"/>
      <c r="AF26" s="170"/>
      <c r="AG26" s="170"/>
    </row>
    <row r="27" spans="1:33" ht="30" customHeight="1">
      <c r="A27" s="161">
        <v>24</v>
      </c>
      <c r="B27" s="172" t="s">
        <v>55</v>
      </c>
      <c r="C27" s="172" t="s">
        <v>691</v>
      </c>
      <c r="D27" s="163" t="s">
        <v>1040</v>
      </c>
      <c r="E27" s="161" t="s">
        <v>1009</v>
      </c>
      <c r="F27" s="164">
        <v>2024</v>
      </c>
      <c r="G27" s="164" t="str">
        <f t="shared" si="0"/>
        <v>Linsek 2024</v>
      </c>
      <c r="H27" s="164">
        <v>31176.562126962017</v>
      </c>
      <c r="I27" s="164">
        <v>25207.193914853116</v>
      </c>
      <c r="J27" s="164">
        <v>215593.89536179212</v>
      </c>
      <c r="K27" s="164">
        <v>19385.438303443781</v>
      </c>
      <c r="L27" s="165"/>
      <c r="M27" s="164">
        <v>14993.948256861917</v>
      </c>
      <c r="N27" s="171">
        <v>10213.245657991198</v>
      </c>
      <c r="O27" s="164">
        <v>4391.4900465818691</v>
      </c>
      <c r="P27" s="164">
        <v>9391.9494541000622</v>
      </c>
      <c r="Q27" s="164">
        <v>17.566287863306865</v>
      </c>
      <c r="R27" s="164">
        <v>546.44501409430723</v>
      </c>
      <c r="S27" s="164">
        <v>11.561740873578071</v>
      </c>
      <c r="T27" s="164">
        <v>245.72316105995375</v>
      </c>
      <c r="U27" s="165">
        <f t="shared" si="2"/>
        <v>25207.193914853116</v>
      </c>
      <c r="V27" s="166">
        <v>45379</v>
      </c>
      <c r="W27" s="167" t="s">
        <v>1003</v>
      </c>
      <c r="X27" s="168" t="s">
        <v>1041</v>
      </c>
      <c r="Y27" s="166">
        <v>45379</v>
      </c>
      <c r="Z27" s="169" t="s">
        <v>1005</v>
      </c>
      <c r="AA27" s="161"/>
      <c r="AB27" s="170"/>
      <c r="AC27" s="170"/>
      <c r="AD27" s="170"/>
      <c r="AE27" s="170"/>
      <c r="AF27" s="170"/>
      <c r="AG27" s="170"/>
    </row>
    <row r="28" spans="1:33" ht="30" customHeight="1">
      <c r="A28" s="161">
        <v>25</v>
      </c>
      <c r="B28" s="172" t="s">
        <v>65</v>
      </c>
      <c r="C28" s="172" t="s">
        <v>886</v>
      </c>
      <c r="D28" s="163" t="s">
        <v>1020</v>
      </c>
      <c r="E28" s="161" t="s">
        <v>1009</v>
      </c>
      <c r="F28" s="164">
        <v>2024</v>
      </c>
      <c r="G28" s="164" t="str">
        <f t="shared" si="0"/>
        <v>Linsek 2024</v>
      </c>
      <c r="H28" s="164">
        <v>1513.2007071836156</v>
      </c>
      <c r="I28" s="164"/>
      <c r="J28" s="164">
        <v>227720.47562462548</v>
      </c>
      <c r="K28" s="164">
        <v>2628.677572698728</v>
      </c>
      <c r="L28" s="165"/>
      <c r="M28" s="164">
        <v>862.25322299451386</v>
      </c>
      <c r="N28" s="171">
        <v>650.94748418910183</v>
      </c>
      <c r="O28" s="164">
        <v>1766.4243497042144</v>
      </c>
      <c r="P28" s="164">
        <v>0</v>
      </c>
      <c r="Q28" s="164">
        <v>328.01581979322958</v>
      </c>
      <c r="R28" s="164">
        <v>253.92782497061802</v>
      </c>
      <c r="S28" s="164">
        <v>0</v>
      </c>
      <c r="T28" s="164">
        <v>69.003839425254057</v>
      </c>
      <c r="U28" s="165">
        <f t="shared" si="2"/>
        <v>1513.2007071836156</v>
      </c>
      <c r="V28" s="166">
        <v>45379</v>
      </c>
      <c r="W28" s="167" t="s">
        <v>1003</v>
      </c>
      <c r="X28" s="168" t="s">
        <v>1041</v>
      </c>
      <c r="Y28" s="166">
        <v>45379</v>
      </c>
      <c r="Z28" s="169" t="s">
        <v>1005</v>
      </c>
      <c r="AA28" s="161"/>
      <c r="AB28" s="170"/>
      <c r="AC28" s="170"/>
      <c r="AD28" s="170"/>
      <c r="AE28" s="170"/>
      <c r="AF28" s="170"/>
      <c r="AG28" s="170"/>
    </row>
    <row r="29" spans="1:33" ht="30" customHeight="1">
      <c r="A29" s="161">
        <v>26</v>
      </c>
      <c r="B29" s="172" t="s">
        <v>1021</v>
      </c>
      <c r="C29" s="172" t="s">
        <v>616</v>
      </c>
      <c r="D29" s="163" t="s">
        <v>1023</v>
      </c>
      <c r="E29" s="161" t="s">
        <v>1009</v>
      </c>
      <c r="F29" s="164">
        <v>2024</v>
      </c>
      <c r="G29" s="164" t="str">
        <f t="shared" si="0"/>
        <v>Linsek 2024</v>
      </c>
      <c r="H29" s="164">
        <v>4837.4699062947302</v>
      </c>
      <c r="I29" s="164">
        <v>21701.58452316673</v>
      </c>
      <c r="J29" s="164">
        <v>111198.8335165954</v>
      </c>
      <c r="K29" s="164">
        <v>21700.629334253619</v>
      </c>
      <c r="L29" s="165"/>
      <c r="M29" s="164">
        <v>21700.629334253717</v>
      </c>
      <c r="N29" s="171">
        <v>0.955188913014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0.955188913014</v>
      </c>
      <c r="U29" s="165">
        <f t="shared" si="2"/>
        <v>21701.58452316673</v>
      </c>
      <c r="V29" s="166">
        <v>45379</v>
      </c>
      <c r="W29" s="167" t="s">
        <v>1003</v>
      </c>
      <c r="X29" s="168" t="s">
        <v>1041</v>
      </c>
      <c r="Y29" s="166">
        <v>45379</v>
      </c>
      <c r="Z29" s="169" t="s">
        <v>1005</v>
      </c>
      <c r="AA29" s="161"/>
      <c r="AB29" s="170"/>
      <c r="AC29" s="170"/>
      <c r="AD29" s="170"/>
      <c r="AE29" s="170"/>
      <c r="AF29" s="170"/>
      <c r="AG29" s="170"/>
    </row>
    <row r="30" spans="1:33" ht="30" customHeight="1">
      <c r="A30" s="161">
        <v>27</v>
      </c>
      <c r="B30" s="172" t="s">
        <v>66</v>
      </c>
      <c r="C30" s="172" t="s">
        <v>902</v>
      </c>
      <c r="D30" s="163" t="s">
        <v>1024</v>
      </c>
      <c r="E30" s="161" t="s">
        <v>1009</v>
      </c>
      <c r="F30" s="164">
        <v>2024</v>
      </c>
      <c r="G30" s="164" t="str">
        <f t="shared" si="0"/>
        <v>Linsek 2024</v>
      </c>
      <c r="H30" s="164">
        <v>582.95500226525849</v>
      </c>
      <c r="I30" s="164"/>
      <c r="J30" s="164">
        <v>1994328.5516659913</v>
      </c>
      <c r="K30" s="164">
        <v>3100.8155646890673</v>
      </c>
      <c r="L30" s="165"/>
      <c r="M30" s="164">
        <v>462.87875267634041</v>
      </c>
      <c r="N30" s="171">
        <v>120.07624958891803</v>
      </c>
      <c r="O30" s="164">
        <v>2637.9368120127269</v>
      </c>
      <c r="P30" s="164">
        <v>56.922399325654702</v>
      </c>
      <c r="Q30" s="164">
        <v>0</v>
      </c>
      <c r="R30" s="164">
        <v>1.5073408613000001E-3</v>
      </c>
      <c r="S30" s="164">
        <v>0</v>
      </c>
      <c r="T30" s="164">
        <v>63.152342922402056</v>
      </c>
      <c r="U30" s="165">
        <f t="shared" si="2"/>
        <v>582.95500226525849</v>
      </c>
      <c r="V30" s="166">
        <v>45379</v>
      </c>
      <c r="W30" s="167" t="s">
        <v>1003</v>
      </c>
      <c r="X30" s="168" t="s">
        <v>1041</v>
      </c>
      <c r="Y30" s="166">
        <v>45379</v>
      </c>
      <c r="Z30" s="169" t="s">
        <v>1005</v>
      </c>
      <c r="AA30" s="161"/>
      <c r="AB30" s="170"/>
      <c r="AC30" s="170"/>
      <c r="AD30" s="170"/>
      <c r="AE30" s="170"/>
      <c r="AF30" s="170"/>
      <c r="AG30" s="170"/>
    </row>
    <row r="31" spans="1:33" ht="30" customHeight="1">
      <c r="A31" s="161">
        <v>28</v>
      </c>
      <c r="B31" s="172" t="s">
        <v>63</v>
      </c>
      <c r="C31" s="172" t="s">
        <v>785</v>
      </c>
      <c r="D31" s="163" t="s">
        <v>1019</v>
      </c>
      <c r="E31" s="161" t="s">
        <v>1009</v>
      </c>
      <c r="F31" s="164">
        <v>2024</v>
      </c>
      <c r="G31" s="164" t="str">
        <f t="shared" si="0"/>
        <v>Linsek 2024</v>
      </c>
      <c r="H31" s="164">
        <v>811.9603582775826</v>
      </c>
      <c r="I31" s="164"/>
      <c r="J31" s="164">
        <v>290220.12363305176</v>
      </c>
      <c r="K31" s="164">
        <v>847.27035966648805</v>
      </c>
      <c r="L31" s="165"/>
      <c r="M31" s="164">
        <v>630.46388613153624</v>
      </c>
      <c r="N31" s="171">
        <v>181.49647214604639</v>
      </c>
      <c r="O31" s="164">
        <v>216.80647353495183</v>
      </c>
      <c r="P31" s="164">
        <v>66.506638186697003</v>
      </c>
      <c r="Q31" s="164">
        <v>0</v>
      </c>
      <c r="R31" s="164">
        <v>42.298527010195315</v>
      </c>
      <c r="S31" s="164">
        <v>0</v>
      </c>
      <c r="T31" s="164">
        <v>72.691306949154082</v>
      </c>
      <c r="U31" s="165">
        <f t="shared" si="2"/>
        <v>811.9603582775826</v>
      </c>
      <c r="V31" s="166">
        <v>45379</v>
      </c>
      <c r="W31" s="167" t="s">
        <v>1003</v>
      </c>
      <c r="X31" s="168" t="s">
        <v>1041</v>
      </c>
      <c r="Y31" s="166">
        <v>45379</v>
      </c>
      <c r="Z31" s="169" t="s">
        <v>1005</v>
      </c>
      <c r="AA31" s="161"/>
      <c r="AB31" s="170"/>
      <c r="AC31" s="170"/>
      <c r="AD31" s="170"/>
      <c r="AE31" s="170"/>
      <c r="AF31" s="170"/>
      <c r="AG31" s="170"/>
    </row>
    <row r="32" spans="1:33" ht="30" customHeight="1">
      <c r="A32" s="161">
        <v>29</v>
      </c>
      <c r="B32" s="172" t="s">
        <v>46</v>
      </c>
      <c r="C32" s="172" t="s">
        <v>402</v>
      </c>
      <c r="D32" s="163" t="s">
        <v>1042</v>
      </c>
      <c r="E32" s="161" t="s">
        <v>1009</v>
      </c>
      <c r="F32" s="164">
        <v>2024</v>
      </c>
      <c r="G32" s="164" t="str">
        <f t="shared" si="0"/>
        <v>Linsek 2024</v>
      </c>
      <c r="H32" s="165">
        <v>16767.142277918429</v>
      </c>
      <c r="I32" s="165"/>
      <c r="J32" s="165">
        <v>128343.63803683233</v>
      </c>
      <c r="K32" s="165">
        <v>11948.394575779905</v>
      </c>
      <c r="L32" s="165"/>
      <c r="M32" s="165">
        <v>10755.026299122137</v>
      </c>
      <c r="N32" s="165">
        <v>6012.1159787962915</v>
      </c>
      <c r="O32" s="165">
        <v>1193.368276657767</v>
      </c>
      <c r="P32" s="165">
        <v>851.10061079524189</v>
      </c>
      <c r="Q32" s="165">
        <v>581.40819446056389</v>
      </c>
      <c r="R32" s="165">
        <v>2631.9894527759352</v>
      </c>
      <c r="S32" s="165">
        <v>3.0087569252424591</v>
      </c>
      <c r="T32" s="165">
        <v>1944.6089638393696</v>
      </c>
      <c r="U32" s="165">
        <f t="shared" si="2"/>
        <v>16767.142277918429</v>
      </c>
      <c r="V32" s="166">
        <v>45378</v>
      </c>
      <c r="W32" s="167" t="s">
        <v>1017</v>
      </c>
      <c r="X32" s="168" t="s">
        <v>1043</v>
      </c>
      <c r="Y32" s="166"/>
      <c r="Z32" s="169" t="s">
        <v>1044</v>
      </c>
      <c r="AA32" s="161"/>
      <c r="AB32" s="170"/>
      <c r="AC32" s="170"/>
      <c r="AD32" s="170"/>
      <c r="AE32" s="170"/>
      <c r="AF32" s="170"/>
      <c r="AG32" s="170"/>
    </row>
    <row r="33" spans="1:33" ht="30" customHeight="1">
      <c r="A33" s="161">
        <v>30</v>
      </c>
      <c r="B33" s="172"/>
      <c r="C33" s="172"/>
      <c r="D33" s="172"/>
      <c r="E33" s="161"/>
      <c r="F33" s="173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6"/>
      <c r="W33" s="167"/>
      <c r="X33" s="168"/>
      <c r="Y33" s="166"/>
      <c r="Z33" s="169"/>
      <c r="AA33" s="161"/>
      <c r="AB33" s="170"/>
      <c r="AC33" s="170"/>
      <c r="AD33" s="170"/>
      <c r="AE33" s="170"/>
      <c r="AF33" s="170"/>
      <c r="AG33" s="170"/>
    </row>
    <row r="34" spans="1:33" ht="30" customHeight="1">
      <c r="A34" s="161">
        <v>31</v>
      </c>
      <c r="B34" s="172"/>
      <c r="C34" s="172"/>
      <c r="D34" s="172"/>
      <c r="E34" s="161"/>
      <c r="F34" s="173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6"/>
      <c r="W34" s="167"/>
      <c r="X34" s="168"/>
      <c r="Y34" s="166"/>
      <c r="Z34" s="169"/>
      <c r="AA34" s="161"/>
      <c r="AB34" s="170"/>
      <c r="AC34" s="170"/>
      <c r="AD34" s="170"/>
      <c r="AE34" s="170"/>
      <c r="AF34" s="170"/>
      <c r="AG34" s="170"/>
    </row>
    <row r="35" spans="1:33" ht="30" customHeight="1">
      <c r="A35" s="161">
        <v>32</v>
      </c>
      <c r="B35" s="172"/>
      <c r="C35" s="172"/>
      <c r="D35" s="172"/>
      <c r="E35" s="161"/>
      <c r="F35" s="173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6"/>
      <c r="W35" s="167"/>
      <c r="X35" s="168"/>
      <c r="Y35" s="166"/>
      <c r="Z35" s="169"/>
      <c r="AA35" s="161"/>
      <c r="AB35" s="170"/>
      <c r="AC35" s="170"/>
      <c r="AD35" s="170"/>
      <c r="AE35" s="170"/>
      <c r="AF35" s="170"/>
      <c r="AG35" s="170"/>
    </row>
    <row r="36" spans="1:33" ht="30" customHeight="1">
      <c r="A36" s="161">
        <v>33</v>
      </c>
      <c r="B36" s="172"/>
      <c r="C36" s="172"/>
      <c r="D36" s="172"/>
      <c r="E36" s="161"/>
      <c r="F36" s="173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6"/>
      <c r="W36" s="167"/>
      <c r="X36" s="174"/>
      <c r="Y36" s="166"/>
      <c r="Z36" s="169"/>
      <c r="AA36" s="161"/>
      <c r="AB36" s="170"/>
      <c r="AC36" s="170"/>
      <c r="AD36" s="170"/>
      <c r="AE36" s="170"/>
      <c r="AF36" s="170"/>
      <c r="AG36" s="170"/>
    </row>
    <row r="37" spans="1:33" ht="30" customHeight="1">
      <c r="A37" s="161">
        <v>34</v>
      </c>
      <c r="B37" s="172"/>
      <c r="C37" s="172"/>
      <c r="D37" s="172"/>
      <c r="E37" s="161"/>
      <c r="F37" s="173"/>
      <c r="G37" s="165"/>
      <c r="H37" s="165"/>
      <c r="I37" s="165"/>
      <c r="J37" s="164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6"/>
      <c r="W37" s="167"/>
      <c r="X37" s="174"/>
      <c r="Y37" s="166"/>
      <c r="Z37" s="161"/>
      <c r="AA37" s="161"/>
      <c r="AB37" s="170"/>
      <c r="AC37" s="170"/>
      <c r="AD37" s="170"/>
      <c r="AE37" s="170"/>
      <c r="AF37" s="170"/>
      <c r="AG37" s="170"/>
    </row>
    <row r="38" spans="1:33" ht="30" customHeight="1">
      <c r="A38" s="161">
        <v>35</v>
      </c>
      <c r="B38" s="172"/>
      <c r="C38" s="172"/>
      <c r="D38" s="172"/>
      <c r="E38" s="161"/>
      <c r="F38" s="173"/>
      <c r="G38" s="165"/>
      <c r="H38" s="165"/>
      <c r="I38" s="165"/>
      <c r="J38" s="164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6"/>
      <c r="W38" s="167"/>
      <c r="X38" s="174"/>
      <c r="Y38" s="166"/>
      <c r="Z38" s="161"/>
      <c r="AA38" s="161"/>
      <c r="AB38" s="170"/>
      <c r="AC38" s="170"/>
      <c r="AD38" s="170"/>
      <c r="AE38" s="170"/>
      <c r="AF38" s="170"/>
      <c r="AG38" s="170"/>
    </row>
    <row r="39" spans="1:33" ht="30" customHeight="1">
      <c r="A39" s="161">
        <v>36</v>
      </c>
      <c r="B39" s="172"/>
      <c r="C39" s="172"/>
      <c r="D39" s="172"/>
      <c r="E39" s="161"/>
      <c r="F39" s="173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6"/>
      <c r="W39" s="167"/>
      <c r="X39" s="168"/>
      <c r="Y39" s="166"/>
      <c r="Z39" s="169"/>
      <c r="AA39" s="161"/>
      <c r="AB39" s="170"/>
      <c r="AC39" s="170"/>
      <c r="AD39" s="170"/>
      <c r="AE39" s="170"/>
      <c r="AF39" s="170"/>
      <c r="AG39" s="170"/>
    </row>
    <row r="40" spans="1:33" ht="30" customHeight="1">
      <c r="A40" s="161">
        <v>37</v>
      </c>
      <c r="B40" s="172"/>
      <c r="C40" s="172"/>
      <c r="D40" s="172"/>
      <c r="E40" s="161"/>
      <c r="F40" s="173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6"/>
      <c r="W40" s="167"/>
      <c r="X40" s="168"/>
      <c r="Y40" s="166"/>
      <c r="Z40" s="169"/>
      <c r="AA40" s="161"/>
      <c r="AB40" s="170"/>
      <c r="AC40" s="170"/>
      <c r="AD40" s="170"/>
      <c r="AE40" s="170"/>
      <c r="AF40" s="170"/>
      <c r="AG40" s="170"/>
    </row>
    <row r="41" spans="1:33" ht="30" customHeight="1">
      <c r="A41" s="161">
        <v>38</v>
      </c>
      <c r="B41" s="172"/>
      <c r="C41" s="172"/>
      <c r="D41" s="172"/>
      <c r="E41" s="161"/>
      <c r="F41" s="173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6"/>
      <c r="W41" s="167"/>
      <c r="X41" s="168"/>
      <c r="Y41" s="166"/>
      <c r="Z41" s="169"/>
      <c r="AA41" s="161"/>
      <c r="AB41" s="170"/>
      <c r="AC41" s="170"/>
      <c r="AD41" s="170"/>
      <c r="AE41" s="170"/>
      <c r="AF41" s="170"/>
      <c r="AG41" s="170"/>
    </row>
    <row r="42" spans="1:33" ht="30" customHeight="1">
      <c r="A42" s="161">
        <v>39</v>
      </c>
      <c r="B42" s="172"/>
      <c r="C42" s="172"/>
      <c r="D42" s="172"/>
      <c r="E42" s="161"/>
      <c r="F42" s="173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6"/>
      <c r="W42" s="167"/>
      <c r="X42" s="168"/>
      <c r="Y42" s="166"/>
      <c r="Z42" s="169"/>
      <c r="AA42" s="161"/>
      <c r="AB42" s="170"/>
      <c r="AC42" s="170"/>
      <c r="AD42" s="170"/>
      <c r="AE42" s="170"/>
      <c r="AF42" s="170"/>
      <c r="AG42" s="170"/>
    </row>
    <row r="43" spans="1:33" ht="30" customHeight="1">
      <c r="A43" s="161">
        <v>40</v>
      </c>
      <c r="B43" s="172"/>
      <c r="C43" s="172"/>
      <c r="D43" s="172"/>
      <c r="E43" s="161"/>
      <c r="F43" s="173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6"/>
      <c r="W43" s="167"/>
      <c r="X43" s="168"/>
      <c r="Y43" s="166"/>
      <c r="Z43" s="169"/>
      <c r="AA43" s="161"/>
      <c r="AB43" s="170"/>
      <c r="AC43" s="170"/>
      <c r="AD43" s="170"/>
      <c r="AE43" s="170"/>
      <c r="AF43" s="170"/>
      <c r="AG43" s="170"/>
    </row>
    <row r="44" spans="1:33" ht="30" customHeight="1">
      <c r="A44" s="161">
        <v>41</v>
      </c>
      <c r="B44" s="172"/>
      <c r="C44" s="172"/>
      <c r="D44" s="172"/>
      <c r="E44" s="161"/>
      <c r="F44" s="173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6"/>
      <c r="W44" s="167"/>
      <c r="X44" s="168"/>
      <c r="Y44" s="166"/>
      <c r="Z44" s="169"/>
      <c r="AA44" s="161"/>
      <c r="AB44" s="170"/>
      <c r="AC44" s="170"/>
      <c r="AD44" s="170"/>
      <c r="AE44" s="170"/>
      <c r="AF44" s="170"/>
      <c r="AG44" s="170"/>
    </row>
    <row r="45" spans="1:33" ht="30" customHeight="1">
      <c r="A45" s="161">
        <v>42</v>
      </c>
      <c r="B45" s="172"/>
      <c r="C45" s="172"/>
      <c r="D45" s="172"/>
      <c r="E45" s="161"/>
      <c r="F45" s="173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6"/>
      <c r="W45" s="167"/>
      <c r="X45" s="168"/>
      <c r="Y45" s="166"/>
      <c r="Z45" s="169"/>
      <c r="AA45" s="161"/>
      <c r="AB45" s="170"/>
      <c r="AC45" s="170"/>
      <c r="AD45" s="170"/>
      <c r="AE45" s="170"/>
      <c r="AF45" s="170"/>
      <c r="AG45" s="170"/>
    </row>
    <row r="46" spans="1:33" ht="30" customHeight="1">
      <c r="A46" s="161">
        <v>43</v>
      </c>
      <c r="B46" s="172"/>
      <c r="C46" s="172"/>
      <c r="D46" s="172"/>
      <c r="E46" s="161"/>
      <c r="F46" s="173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6"/>
      <c r="W46" s="167"/>
      <c r="X46" s="168"/>
      <c r="Y46" s="166"/>
      <c r="Z46" s="169"/>
      <c r="AA46" s="161"/>
      <c r="AB46" s="170"/>
      <c r="AC46" s="170"/>
      <c r="AD46" s="170"/>
      <c r="AE46" s="170"/>
      <c r="AF46" s="170"/>
      <c r="AG46" s="170"/>
    </row>
    <row r="47" spans="1:33" ht="30" customHeight="1">
      <c r="A47" s="161">
        <v>44</v>
      </c>
      <c r="B47" s="172"/>
      <c r="C47" s="172"/>
      <c r="D47" s="172"/>
      <c r="E47" s="161"/>
      <c r="F47" s="173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6"/>
      <c r="W47" s="167"/>
      <c r="X47" s="168"/>
      <c r="Y47" s="166"/>
      <c r="Z47" s="169"/>
      <c r="AA47" s="161"/>
      <c r="AB47" s="170"/>
      <c r="AC47" s="170"/>
      <c r="AD47" s="170"/>
      <c r="AE47" s="170"/>
      <c r="AF47" s="170"/>
      <c r="AG47" s="170"/>
    </row>
    <row r="48" spans="1:33" ht="30" customHeight="1">
      <c r="A48" s="161">
        <v>45</v>
      </c>
      <c r="B48" s="172"/>
      <c r="C48" s="172"/>
      <c r="D48" s="172"/>
      <c r="E48" s="161"/>
      <c r="F48" s="173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6"/>
      <c r="W48" s="167"/>
      <c r="X48" s="168"/>
      <c r="Y48" s="166"/>
      <c r="Z48" s="169"/>
      <c r="AA48" s="161"/>
      <c r="AB48" s="170"/>
      <c r="AC48" s="170"/>
      <c r="AD48" s="170"/>
      <c r="AE48" s="170"/>
      <c r="AF48" s="170"/>
      <c r="AG48" s="170"/>
    </row>
    <row r="49" spans="1:33" ht="30" customHeight="1">
      <c r="A49" s="161">
        <v>46</v>
      </c>
      <c r="B49" s="172"/>
      <c r="C49" s="172"/>
      <c r="D49" s="172"/>
      <c r="E49" s="161"/>
      <c r="F49" s="173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6"/>
      <c r="W49" s="167"/>
      <c r="X49" s="168"/>
      <c r="Y49" s="166"/>
      <c r="Z49" s="169"/>
      <c r="AA49" s="161"/>
      <c r="AB49" s="170"/>
      <c r="AC49" s="170"/>
      <c r="AD49" s="170"/>
      <c r="AE49" s="170"/>
      <c r="AF49" s="170"/>
      <c r="AG49" s="170"/>
    </row>
    <row r="50" spans="1:33" ht="30" customHeight="1">
      <c r="A50" s="161">
        <v>47</v>
      </c>
      <c r="B50" s="172"/>
      <c r="C50" s="172"/>
      <c r="D50" s="172"/>
      <c r="E50" s="161"/>
      <c r="F50" s="173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6"/>
      <c r="W50" s="167"/>
      <c r="X50" s="168"/>
      <c r="Y50" s="166"/>
      <c r="Z50" s="169"/>
      <c r="AA50" s="161"/>
      <c r="AB50" s="170"/>
      <c r="AC50" s="170"/>
      <c r="AD50" s="170"/>
      <c r="AE50" s="170"/>
      <c r="AF50" s="170"/>
      <c r="AG50" s="170"/>
    </row>
    <row r="51" spans="1:33" ht="30" customHeight="1">
      <c r="A51" s="161">
        <v>48</v>
      </c>
      <c r="B51" s="172"/>
      <c r="C51" s="172"/>
      <c r="D51" s="172"/>
      <c r="E51" s="161"/>
      <c r="F51" s="173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6"/>
      <c r="W51" s="167"/>
      <c r="X51" s="174"/>
      <c r="Y51" s="166"/>
      <c r="Z51" s="169"/>
      <c r="AA51" s="161"/>
      <c r="AB51" s="170"/>
      <c r="AC51" s="170"/>
      <c r="AD51" s="170"/>
      <c r="AE51" s="170"/>
      <c r="AF51" s="170"/>
      <c r="AG51" s="170"/>
    </row>
    <row r="52" spans="1:33" ht="30" customHeight="1">
      <c r="A52" s="161">
        <v>49</v>
      </c>
      <c r="B52" s="172"/>
      <c r="C52" s="172"/>
      <c r="D52" s="172"/>
      <c r="E52" s="161"/>
      <c r="F52" s="173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6"/>
      <c r="W52" s="167"/>
      <c r="X52" s="168"/>
      <c r="Y52" s="166"/>
      <c r="Z52" s="169"/>
      <c r="AA52" s="161"/>
      <c r="AB52" s="170"/>
      <c r="AC52" s="170"/>
      <c r="AD52" s="170"/>
      <c r="AE52" s="170"/>
      <c r="AF52" s="170"/>
      <c r="AG52" s="170"/>
    </row>
    <row r="53" spans="1:33" ht="30" customHeight="1">
      <c r="A53" s="161"/>
      <c r="B53" s="172" t="s">
        <v>10</v>
      </c>
      <c r="C53" s="172"/>
      <c r="D53" s="172"/>
      <c r="E53" s="161"/>
      <c r="F53" s="173"/>
      <c r="G53" s="165"/>
      <c r="H53" s="165">
        <f t="shared" ref="H53:U53" si="3">SUM(H4:H52)</f>
        <v>364836.53055323823</v>
      </c>
      <c r="I53" s="165">
        <f t="shared" si="3"/>
        <v>292479.57520751684</v>
      </c>
      <c r="J53" s="165">
        <f t="shared" si="3"/>
        <v>14035725.922852557</v>
      </c>
      <c r="K53" s="165">
        <f t="shared" si="3"/>
        <v>338535.86265227268</v>
      </c>
      <c r="L53" s="165">
        <f t="shared" si="3"/>
        <v>0</v>
      </c>
      <c r="M53" s="165">
        <f t="shared" si="3"/>
        <v>269891.08664526214</v>
      </c>
      <c r="N53" s="165">
        <f t="shared" si="3"/>
        <v>78429.265493366853</v>
      </c>
      <c r="O53" s="165">
        <f t="shared" si="3"/>
        <v>68260.685202222463</v>
      </c>
      <c r="P53" s="165">
        <f t="shared" si="3"/>
        <v>44005.265830889795</v>
      </c>
      <c r="Q53" s="165">
        <f t="shared" si="3"/>
        <v>1794.2015477573375</v>
      </c>
      <c r="R53" s="165">
        <f t="shared" si="3"/>
        <v>14436.581011394743</v>
      </c>
      <c r="S53" s="165">
        <f t="shared" si="3"/>
        <v>706.710161533921</v>
      </c>
      <c r="T53" s="165">
        <f t="shared" si="3"/>
        <v>17486.506941791027</v>
      </c>
      <c r="U53" s="165">
        <f t="shared" si="3"/>
        <v>333020.58238477667</v>
      </c>
      <c r="V53" s="166"/>
      <c r="W53" s="167"/>
      <c r="X53" s="174"/>
      <c r="Y53" s="166"/>
      <c r="Z53" s="169"/>
      <c r="AA53" s="161"/>
      <c r="AB53" s="170"/>
      <c r="AC53" s="170"/>
      <c r="AD53" s="170"/>
      <c r="AE53" s="170"/>
      <c r="AF53" s="170"/>
      <c r="AG53" s="170"/>
    </row>
    <row r="54" spans="1:33" ht="30" customHeight="1">
      <c r="A54" s="175"/>
      <c r="B54" s="176"/>
      <c r="C54" s="176"/>
      <c r="D54" s="176"/>
      <c r="E54" s="175"/>
      <c r="F54" s="177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9"/>
      <c r="W54" s="180"/>
      <c r="X54" s="181"/>
      <c r="Y54" s="179"/>
      <c r="Z54" s="182"/>
      <c r="AA54" s="175"/>
      <c r="AB54" s="170"/>
      <c r="AC54" s="170"/>
      <c r="AD54" s="170"/>
      <c r="AE54" s="170"/>
      <c r="AF54" s="170"/>
      <c r="AG54" s="170"/>
    </row>
    <row r="55" spans="1:33" ht="30" customHeight="1">
      <c r="A55" s="175"/>
      <c r="B55" s="176"/>
      <c r="C55" s="176"/>
      <c r="D55" s="176"/>
      <c r="E55" s="175"/>
      <c r="F55" s="177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9"/>
      <c r="W55" s="180"/>
      <c r="X55" s="181"/>
      <c r="Y55" s="179"/>
      <c r="Z55" s="182"/>
      <c r="AA55" s="175"/>
      <c r="AB55" s="170"/>
      <c r="AC55" s="170"/>
      <c r="AD55" s="170"/>
      <c r="AE55" s="170"/>
      <c r="AF55" s="170"/>
      <c r="AG55" s="170"/>
    </row>
    <row r="56" spans="1:33" ht="30" customHeight="1">
      <c r="A56" s="175"/>
      <c r="B56" s="176"/>
      <c r="C56" s="176"/>
      <c r="D56" s="176"/>
      <c r="E56" s="175"/>
      <c r="F56" s="177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9"/>
      <c r="W56" s="180"/>
      <c r="X56" s="181"/>
      <c r="Y56" s="179"/>
      <c r="Z56" s="182"/>
      <c r="AA56" s="175"/>
      <c r="AB56" s="170"/>
      <c r="AC56" s="170"/>
      <c r="AD56" s="170"/>
      <c r="AE56" s="170"/>
      <c r="AF56" s="170"/>
      <c r="AG56" s="170"/>
    </row>
    <row r="57" spans="1:33" ht="30" customHeight="1">
      <c r="A57" s="175"/>
      <c r="B57" s="176"/>
      <c r="C57" s="176"/>
      <c r="D57" s="176"/>
      <c r="E57" s="175"/>
      <c r="F57" s="177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9"/>
      <c r="W57" s="180"/>
      <c r="X57" s="181"/>
      <c r="Y57" s="179"/>
      <c r="Z57" s="182"/>
      <c r="AA57" s="175"/>
      <c r="AB57" s="170"/>
      <c r="AC57" s="170"/>
      <c r="AD57" s="170"/>
      <c r="AE57" s="170"/>
      <c r="AF57" s="170"/>
      <c r="AG57" s="170"/>
    </row>
    <row r="58" spans="1:33" ht="30" customHeight="1">
      <c r="A58" s="175"/>
      <c r="B58" s="176"/>
      <c r="C58" s="176"/>
      <c r="D58" s="176"/>
      <c r="E58" s="175"/>
      <c r="F58" s="177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9"/>
      <c r="W58" s="180"/>
      <c r="X58" s="181"/>
      <c r="Y58" s="179"/>
      <c r="Z58" s="182"/>
      <c r="AA58" s="175"/>
      <c r="AB58" s="170"/>
      <c r="AC58" s="170"/>
      <c r="AD58" s="170"/>
      <c r="AE58" s="170"/>
      <c r="AF58" s="170"/>
      <c r="AG58" s="170"/>
    </row>
    <row r="59" spans="1:33" ht="30" customHeight="1">
      <c r="A59" s="175"/>
      <c r="B59" s="176"/>
      <c r="C59" s="176"/>
      <c r="D59" s="176"/>
      <c r="E59" s="175"/>
      <c r="F59" s="177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9"/>
      <c r="W59" s="180"/>
      <c r="X59" s="181"/>
      <c r="Y59" s="179"/>
      <c r="Z59" s="182"/>
      <c r="AA59" s="175"/>
      <c r="AB59" s="170"/>
      <c r="AC59" s="170"/>
      <c r="AD59" s="170"/>
      <c r="AE59" s="170"/>
      <c r="AF59" s="170"/>
      <c r="AG59" s="170"/>
    </row>
    <row r="60" spans="1:33" ht="30" customHeight="1">
      <c r="A60" s="175"/>
      <c r="B60" s="176"/>
      <c r="C60" s="176"/>
      <c r="D60" s="176"/>
      <c r="E60" s="175"/>
      <c r="F60" s="177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9"/>
      <c r="W60" s="180"/>
      <c r="X60" s="181"/>
      <c r="Y60" s="179"/>
      <c r="Z60" s="182"/>
      <c r="AA60" s="175"/>
      <c r="AB60" s="170"/>
      <c r="AC60" s="170"/>
      <c r="AD60" s="170"/>
      <c r="AE60" s="170"/>
      <c r="AF60" s="170"/>
      <c r="AG60" s="170"/>
    </row>
    <row r="61" spans="1:33" ht="30" customHeight="1">
      <c r="A61" s="175"/>
      <c r="B61" s="176"/>
      <c r="C61" s="176"/>
      <c r="D61" s="176"/>
      <c r="E61" s="175"/>
      <c r="F61" s="177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W61" s="180"/>
      <c r="X61" s="181"/>
      <c r="Y61" s="179"/>
      <c r="Z61" s="182"/>
      <c r="AA61" s="175"/>
      <c r="AB61" s="170"/>
      <c r="AC61" s="170"/>
      <c r="AD61" s="170"/>
      <c r="AE61" s="170"/>
      <c r="AF61" s="170"/>
      <c r="AG61" s="170"/>
    </row>
    <row r="62" spans="1:33" ht="30" customHeight="1">
      <c r="A62" s="175"/>
      <c r="B62" s="176"/>
      <c r="C62" s="176"/>
      <c r="D62" s="176"/>
      <c r="E62" s="175"/>
      <c r="F62" s="177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9"/>
      <c r="W62" s="180"/>
      <c r="X62" s="181"/>
      <c r="Y62" s="179"/>
      <c r="Z62" s="182"/>
      <c r="AA62" s="175"/>
      <c r="AB62" s="170"/>
      <c r="AC62" s="170"/>
      <c r="AD62" s="170"/>
      <c r="AE62" s="170"/>
      <c r="AF62" s="170"/>
      <c r="AG62" s="170"/>
    </row>
    <row r="63" spans="1:33" ht="30" customHeight="1">
      <c r="A63" s="175"/>
      <c r="B63" s="176"/>
      <c r="C63" s="176"/>
      <c r="D63" s="176"/>
      <c r="E63" s="175"/>
      <c r="F63" s="177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9"/>
      <c r="W63" s="180"/>
      <c r="X63" s="181"/>
      <c r="Y63" s="179"/>
      <c r="Z63" s="182"/>
      <c r="AA63" s="175"/>
      <c r="AB63" s="170"/>
      <c r="AC63" s="170"/>
      <c r="AD63" s="170"/>
      <c r="AE63" s="170"/>
      <c r="AF63" s="170"/>
      <c r="AG63" s="170"/>
    </row>
    <row r="64" spans="1:33" ht="30" customHeight="1">
      <c r="A64" s="175"/>
      <c r="B64" s="176"/>
      <c r="C64" s="176"/>
      <c r="D64" s="176"/>
      <c r="E64" s="175"/>
      <c r="F64" s="177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9"/>
      <c r="W64" s="180"/>
      <c r="X64" s="181"/>
      <c r="Y64" s="179"/>
      <c r="Z64" s="182"/>
      <c r="AA64" s="175"/>
      <c r="AB64" s="170"/>
      <c r="AC64" s="170"/>
      <c r="AD64" s="170"/>
      <c r="AE64" s="170"/>
      <c r="AF64" s="170"/>
      <c r="AG64" s="170"/>
    </row>
    <row r="65" spans="1:33" ht="30" customHeight="1">
      <c r="A65" s="175"/>
      <c r="B65" s="176"/>
      <c r="C65" s="176"/>
      <c r="D65" s="176"/>
      <c r="E65" s="175"/>
      <c r="F65" s="177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9"/>
      <c r="W65" s="180"/>
      <c r="X65" s="181"/>
      <c r="Y65" s="179"/>
      <c r="Z65" s="182"/>
      <c r="AA65" s="175"/>
      <c r="AB65" s="170"/>
      <c r="AC65" s="170"/>
      <c r="AD65" s="170"/>
      <c r="AE65" s="170"/>
      <c r="AF65" s="170"/>
      <c r="AG65" s="170"/>
    </row>
    <row r="66" spans="1:33" ht="30" customHeight="1">
      <c r="A66" s="175"/>
      <c r="B66" s="176"/>
      <c r="C66" s="176"/>
      <c r="D66" s="176"/>
      <c r="E66" s="175"/>
      <c r="F66" s="177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9"/>
      <c r="W66" s="180"/>
      <c r="X66" s="181"/>
      <c r="Y66" s="179"/>
      <c r="Z66" s="182"/>
      <c r="AA66" s="175"/>
      <c r="AB66" s="170"/>
      <c r="AC66" s="170"/>
      <c r="AD66" s="170"/>
      <c r="AE66" s="170"/>
      <c r="AF66" s="170"/>
      <c r="AG66" s="170"/>
    </row>
    <row r="67" spans="1:33" ht="30" customHeight="1">
      <c r="A67" s="175"/>
      <c r="B67" s="176"/>
      <c r="C67" s="176"/>
      <c r="D67" s="176"/>
      <c r="E67" s="175"/>
      <c r="F67" s="177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9"/>
      <c r="W67" s="180"/>
      <c r="X67" s="181"/>
      <c r="Y67" s="179"/>
      <c r="Z67" s="182"/>
      <c r="AA67" s="175"/>
      <c r="AB67" s="170"/>
      <c r="AC67" s="170"/>
      <c r="AD67" s="170"/>
      <c r="AE67" s="170"/>
      <c r="AF67" s="170"/>
      <c r="AG67" s="170"/>
    </row>
    <row r="68" spans="1:33" ht="30" customHeight="1">
      <c r="A68" s="175"/>
      <c r="B68" s="176"/>
      <c r="C68" s="176"/>
      <c r="D68" s="176"/>
      <c r="E68" s="175"/>
      <c r="F68" s="177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9"/>
      <c r="W68" s="180"/>
      <c r="X68" s="181"/>
      <c r="Y68" s="179"/>
      <c r="Z68" s="182"/>
      <c r="AA68" s="175"/>
      <c r="AB68" s="170"/>
      <c r="AC68" s="170"/>
      <c r="AD68" s="170"/>
      <c r="AE68" s="170"/>
      <c r="AF68" s="170"/>
      <c r="AG68" s="170"/>
    </row>
    <row r="69" spans="1:33" ht="30" customHeight="1">
      <c r="A69" s="175"/>
      <c r="B69" s="176"/>
      <c r="C69" s="176"/>
      <c r="D69" s="176"/>
      <c r="E69" s="175"/>
      <c r="F69" s="177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9"/>
      <c r="W69" s="180"/>
      <c r="X69" s="181"/>
      <c r="Y69" s="179"/>
      <c r="Z69" s="182"/>
      <c r="AA69" s="175"/>
      <c r="AB69" s="170"/>
      <c r="AC69" s="170"/>
      <c r="AD69" s="170"/>
      <c r="AE69" s="170"/>
      <c r="AF69" s="170"/>
      <c r="AG69" s="170"/>
    </row>
    <row r="70" spans="1:33" ht="30" customHeight="1">
      <c r="A70" s="175"/>
      <c r="B70" s="176"/>
      <c r="C70" s="176"/>
      <c r="D70" s="176"/>
      <c r="E70" s="175"/>
      <c r="F70" s="177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9"/>
      <c r="W70" s="180"/>
      <c r="X70" s="181"/>
      <c r="Y70" s="179"/>
      <c r="Z70" s="182"/>
      <c r="AA70" s="175"/>
      <c r="AB70" s="170"/>
      <c r="AC70" s="170"/>
      <c r="AD70" s="170"/>
      <c r="AE70" s="170"/>
      <c r="AF70" s="170"/>
      <c r="AG70" s="170"/>
    </row>
    <row r="71" spans="1:33" ht="30" customHeight="1">
      <c r="A71" s="175"/>
      <c r="B71" s="176"/>
      <c r="C71" s="176"/>
      <c r="D71" s="176"/>
      <c r="E71" s="175"/>
      <c r="F71" s="177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9"/>
      <c r="W71" s="180"/>
      <c r="X71" s="181"/>
      <c r="Y71" s="179"/>
      <c r="Z71" s="182"/>
      <c r="AA71" s="175"/>
      <c r="AB71" s="170"/>
      <c r="AC71" s="170"/>
      <c r="AD71" s="170"/>
      <c r="AE71" s="170"/>
      <c r="AF71" s="170"/>
      <c r="AG71" s="170"/>
    </row>
    <row r="72" spans="1:33" ht="30" customHeight="1">
      <c r="A72" s="175"/>
      <c r="B72" s="176"/>
      <c r="C72" s="176"/>
      <c r="D72" s="176"/>
      <c r="E72" s="175"/>
      <c r="F72" s="177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9"/>
      <c r="W72" s="180"/>
      <c r="X72" s="181"/>
      <c r="Y72" s="179"/>
      <c r="Z72" s="182"/>
      <c r="AA72" s="175"/>
      <c r="AB72" s="170"/>
      <c r="AC72" s="170"/>
      <c r="AD72" s="170"/>
      <c r="AE72" s="170"/>
      <c r="AF72" s="170"/>
      <c r="AG72" s="170"/>
    </row>
    <row r="73" spans="1:33" ht="30" customHeight="1">
      <c r="A73" s="175"/>
      <c r="B73" s="176"/>
      <c r="C73" s="176"/>
      <c r="D73" s="176"/>
      <c r="E73" s="175"/>
      <c r="F73" s="177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9"/>
      <c r="W73" s="180"/>
      <c r="X73" s="181"/>
      <c r="Y73" s="179"/>
      <c r="Z73" s="182"/>
      <c r="AA73" s="175"/>
      <c r="AB73" s="170"/>
      <c r="AC73" s="170"/>
      <c r="AD73" s="170"/>
      <c r="AE73" s="170"/>
      <c r="AF73" s="170"/>
      <c r="AG73" s="170"/>
    </row>
    <row r="74" spans="1:33" ht="30" customHeight="1">
      <c r="A74" s="175"/>
      <c r="B74" s="176"/>
      <c r="C74" s="176"/>
      <c r="D74" s="176"/>
      <c r="E74" s="175"/>
      <c r="F74" s="177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9"/>
      <c r="W74" s="180"/>
      <c r="X74" s="181"/>
      <c r="Y74" s="179"/>
      <c r="Z74" s="182"/>
      <c r="AA74" s="175"/>
      <c r="AB74" s="170"/>
      <c r="AC74" s="170"/>
      <c r="AD74" s="170"/>
      <c r="AE74" s="170"/>
      <c r="AF74" s="170"/>
      <c r="AG74" s="170"/>
    </row>
    <row r="75" spans="1:33" ht="30" customHeight="1">
      <c r="A75" s="175"/>
      <c r="B75" s="176"/>
      <c r="C75" s="176"/>
      <c r="D75" s="176"/>
      <c r="E75" s="175"/>
      <c r="F75" s="177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9"/>
      <c r="W75" s="180"/>
      <c r="X75" s="181"/>
      <c r="Y75" s="179"/>
      <c r="Z75" s="182"/>
      <c r="AA75" s="175"/>
      <c r="AB75" s="170"/>
      <c r="AC75" s="170"/>
      <c r="AD75" s="170"/>
      <c r="AE75" s="170"/>
      <c r="AF75" s="170"/>
      <c r="AG75" s="170"/>
    </row>
    <row r="76" spans="1:33" ht="30" customHeight="1">
      <c r="A76" s="175"/>
      <c r="B76" s="176"/>
      <c r="C76" s="176"/>
      <c r="D76" s="176"/>
      <c r="E76" s="175"/>
      <c r="F76" s="177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9"/>
      <c r="W76" s="180"/>
      <c r="X76" s="181"/>
      <c r="Y76" s="179"/>
      <c r="Z76" s="182"/>
      <c r="AA76" s="175"/>
      <c r="AB76" s="170"/>
      <c r="AC76" s="170"/>
      <c r="AD76" s="170"/>
      <c r="AE76" s="170"/>
      <c r="AF76" s="170"/>
      <c r="AG76" s="170"/>
    </row>
    <row r="77" spans="1:33" ht="30" customHeight="1">
      <c r="A77" s="175"/>
      <c r="B77" s="176"/>
      <c r="C77" s="176"/>
      <c r="D77" s="176"/>
      <c r="E77" s="175"/>
      <c r="F77" s="177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9"/>
      <c r="W77" s="180"/>
      <c r="X77" s="181"/>
      <c r="Y77" s="179"/>
      <c r="Z77" s="182"/>
      <c r="AA77" s="175"/>
      <c r="AB77" s="170"/>
      <c r="AC77" s="170"/>
      <c r="AD77" s="170"/>
      <c r="AE77" s="170"/>
      <c r="AF77" s="170"/>
      <c r="AG77" s="170"/>
    </row>
    <row r="78" spans="1:33" ht="30" customHeight="1">
      <c r="A78" s="175"/>
      <c r="B78" s="176"/>
      <c r="C78" s="176"/>
      <c r="D78" s="176"/>
      <c r="E78" s="175"/>
      <c r="F78" s="177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9"/>
      <c r="W78" s="180"/>
      <c r="X78" s="181"/>
      <c r="Y78" s="179"/>
      <c r="Z78" s="182"/>
      <c r="AA78" s="175"/>
      <c r="AB78" s="170"/>
      <c r="AC78" s="170"/>
      <c r="AD78" s="170"/>
      <c r="AE78" s="170"/>
      <c r="AF78" s="170"/>
      <c r="AG78" s="170"/>
    </row>
    <row r="79" spans="1:33" ht="30" customHeight="1">
      <c r="A79" s="175"/>
      <c r="B79" s="176"/>
      <c r="C79" s="176"/>
      <c r="D79" s="176"/>
      <c r="E79" s="175"/>
      <c r="F79" s="177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9"/>
      <c r="W79" s="180"/>
      <c r="X79" s="181"/>
      <c r="Y79" s="179"/>
      <c r="Z79" s="182"/>
      <c r="AA79" s="175"/>
      <c r="AB79" s="170"/>
      <c r="AC79" s="170"/>
      <c r="AD79" s="170"/>
      <c r="AE79" s="170"/>
      <c r="AF79" s="170"/>
      <c r="AG79" s="170"/>
    </row>
    <row r="80" spans="1:33" ht="30" customHeight="1">
      <c r="A80" s="175"/>
      <c r="B80" s="176"/>
      <c r="C80" s="176"/>
      <c r="D80" s="176"/>
      <c r="E80" s="175"/>
      <c r="F80" s="177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9"/>
      <c r="W80" s="180"/>
      <c r="X80" s="181"/>
      <c r="Y80" s="179"/>
      <c r="Z80" s="182"/>
      <c r="AA80" s="175"/>
      <c r="AB80" s="170"/>
      <c r="AC80" s="170"/>
      <c r="AD80" s="170"/>
      <c r="AE80" s="170"/>
      <c r="AF80" s="170"/>
      <c r="AG80" s="170"/>
    </row>
    <row r="81" spans="1:33" ht="30" customHeight="1">
      <c r="A81" s="175"/>
      <c r="B81" s="176"/>
      <c r="C81" s="176"/>
      <c r="D81" s="176"/>
      <c r="E81" s="175"/>
      <c r="F81" s="177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9"/>
      <c r="W81" s="180"/>
      <c r="X81" s="181"/>
      <c r="Y81" s="179"/>
      <c r="Z81" s="182"/>
      <c r="AA81" s="175"/>
      <c r="AB81" s="170"/>
      <c r="AC81" s="170"/>
      <c r="AD81" s="170"/>
      <c r="AE81" s="170"/>
      <c r="AF81" s="170"/>
      <c r="AG81" s="170"/>
    </row>
    <row r="82" spans="1:33" ht="30" customHeight="1">
      <c r="A82" s="175"/>
      <c r="B82" s="176"/>
      <c r="C82" s="176"/>
      <c r="D82" s="176"/>
      <c r="E82" s="175"/>
      <c r="F82" s="177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9"/>
      <c r="W82" s="180"/>
      <c r="X82" s="181"/>
      <c r="Y82" s="179"/>
      <c r="Z82" s="182"/>
      <c r="AA82" s="175"/>
      <c r="AB82" s="170"/>
      <c r="AC82" s="170"/>
      <c r="AD82" s="170"/>
      <c r="AE82" s="170"/>
      <c r="AF82" s="170"/>
      <c r="AG82" s="170"/>
    </row>
    <row r="83" spans="1:33" ht="30" customHeight="1">
      <c r="A83" s="175"/>
      <c r="B83" s="176"/>
      <c r="C83" s="176"/>
      <c r="D83" s="176"/>
      <c r="E83" s="175"/>
      <c r="F83" s="177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9"/>
      <c r="W83" s="180"/>
      <c r="X83" s="181"/>
      <c r="Y83" s="179"/>
      <c r="Z83" s="182"/>
      <c r="AA83" s="175"/>
      <c r="AB83" s="170"/>
      <c r="AC83" s="170"/>
      <c r="AD83" s="170"/>
      <c r="AE83" s="170"/>
      <c r="AF83" s="170"/>
      <c r="AG83" s="170"/>
    </row>
    <row r="84" spans="1:33" ht="30" customHeight="1">
      <c r="A84" s="175"/>
      <c r="B84" s="176"/>
      <c r="C84" s="176"/>
      <c r="D84" s="176"/>
      <c r="E84" s="175"/>
      <c r="F84" s="177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9"/>
      <c r="W84" s="180"/>
      <c r="X84" s="181"/>
      <c r="Y84" s="179"/>
      <c r="Z84" s="182"/>
      <c r="AA84" s="175"/>
      <c r="AB84" s="170"/>
      <c r="AC84" s="170"/>
      <c r="AD84" s="170"/>
      <c r="AE84" s="170"/>
      <c r="AF84" s="170"/>
      <c r="AG84" s="170"/>
    </row>
    <row r="85" spans="1:33" ht="30" customHeight="1">
      <c r="A85" s="175"/>
      <c r="B85" s="176"/>
      <c r="C85" s="176"/>
      <c r="D85" s="176"/>
      <c r="E85" s="175"/>
      <c r="F85" s="177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9"/>
      <c r="W85" s="180"/>
      <c r="X85" s="181"/>
      <c r="Y85" s="179"/>
      <c r="Z85" s="182"/>
      <c r="AA85" s="175"/>
      <c r="AB85" s="170"/>
      <c r="AC85" s="170"/>
      <c r="AD85" s="170"/>
      <c r="AE85" s="170"/>
      <c r="AF85" s="170"/>
      <c r="AG85" s="170"/>
    </row>
    <row r="86" spans="1:33" ht="30" customHeight="1">
      <c r="A86" s="175"/>
      <c r="B86" s="176"/>
      <c r="C86" s="176"/>
      <c r="D86" s="176"/>
      <c r="E86" s="175"/>
      <c r="F86" s="177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9"/>
      <c r="W86" s="180"/>
      <c r="X86" s="181"/>
      <c r="Y86" s="179"/>
      <c r="Z86" s="182"/>
      <c r="AA86" s="175"/>
      <c r="AB86" s="170"/>
      <c r="AC86" s="170"/>
      <c r="AD86" s="170"/>
      <c r="AE86" s="170"/>
      <c r="AF86" s="170"/>
      <c r="AG86" s="170"/>
    </row>
    <row r="87" spans="1:33" ht="30" customHeight="1">
      <c r="A87" s="175"/>
      <c r="B87" s="176"/>
      <c r="C87" s="176"/>
      <c r="D87" s="176"/>
      <c r="E87" s="175"/>
      <c r="F87" s="177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9"/>
      <c r="W87" s="180"/>
      <c r="X87" s="181"/>
      <c r="Y87" s="179"/>
      <c r="Z87" s="182"/>
      <c r="AA87" s="175"/>
      <c r="AB87" s="170"/>
      <c r="AC87" s="170"/>
      <c r="AD87" s="170"/>
      <c r="AE87" s="170"/>
      <c r="AF87" s="170"/>
      <c r="AG87" s="170"/>
    </row>
    <row r="88" spans="1:33" ht="30" customHeight="1">
      <c r="A88" s="175"/>
      <c r="B88" s="176"/>
      <c r="C88" s="176"/>
      <c r="D88" s="176"/>
      <c r="E88" s="175"/>
      <c r="F88" s="177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9"/>
      <c r="W88" s="180"/>
      <c r="X88" s="181"/>
      <c r="Y88" s="179"/>
      <c r="Z88" s="182"/>
      <c r="AA88" s="175"/>
      <c r="AB88" s="170"/>
      <c r="AC88" s="170"/>
      <c r="AD88" s="170"/>
      <c r="AE88" s="170"/>
      <c r="AF88" s="170"/>
      <c r="AG88" s="170"/>
    </row>
    <row r="89" spans="1:33" ht="30" customHeight="1">
      <c r="A89" s="175"/>
      <c r="B89" s="176"/>
      <c r="C89" s="176"/>
      <c r="D89" s="176"/>
      <c r="E89" s="175"/>
      <c r="F89" s="177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9"/>
      <c r="W89" s="180"/>
      <c r="X89" s="181"/>
      <c r="Y89" s="179"/>
      <c r="Z89" s="182"/>
      <c r="AA89" s="175"/>
      <c r="AB89" s="170"/>
      <c r="AC89" s="170"/>
      <c r="AD89" s="170"/>
      <c r="AE89" s="170"/>
      <c r="AF89" s="170"/>
      <c r="AG89" s="170"/>
    </row>
    <row r="90" spans="1:33" ht="30" customHeight="1">
      <c r="A90" s="175"/>
      <c r="B90" s="176"/>
      <c r="C90" s="176"/>
      <c r="D90" s="176"/>
      <c r="E90" s="175"/>
      <c r="F90" s="177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9"/>
      <c r="W90" s="180"/>
      <c r="X90" s="181"/>
      <c r="Y90" s="179"/>
      <c r="Z90" s="182"/>
      <c r="AA90" s="175"/>
      <c r="AB90" s="170"/>
      <c r="AC90" s="170"/>
      <c r="AD90" s="170"/>
      <c r="AE90" s="170"/>
      <c r="AF90" s="170"/>
      <c r="AG90" s="170"/>
    </row>
    <row r="91" spans="1:33" ht="30" customHeight="1">
      <c r="A91" s="175"/>
      <c r="B91" s="176"/>
      <c r="C91" s="176"/>
      <c r="D91" s="176"/>
      <c r="E91" s="175"/>
      <c r="F91" s="177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9"/>
      <c r="W91" s="180"/>
      <c r="X91" s="181"/>
      <c r="Y91" s="179"/>
      <c r="Z91" s="182"/>
      <c r="AA91" s="175"/>
      <c r="AB91" s="170"/>
      <c r="AC91" s="170"/>
      <c r="AD91" s="170"/>
      <c r="AE91" s="170"/>
      <c r="AF91" s="170"/>
      <c r="AG91" s="170"/>
    </row>
    <row r="92" spans="1:33" ht="30" customHeight="1">
      <c r="A92" s="175"/>
      <c r="B92" s="176"/>
      <c r="C92" s="176"/>
      <c r="D92" s="176"/>
      <c r="E92" s="175"/>
      <c r="F92" s="177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9"/>
      <c r="W92" s="180"/>
      <c r="X92" s="181"/>
      <c r="Y92" s="179"/>
      <c r="Z92" s="182"/>
      <c r="AA92" s="175"/>
      <c r="AB92" s="170"/>
      <c r="AC92" s="170"/>
      <c r="AD92" s="170"/>
      <c r="AE92" s="170"/>
      <c r="AF92" s="170"/>
      <c r="AG92" s="170"/>
    </row>
    <row r="93" spans="1:33" ht="30" customHeight="1">
      <c r="A93" s="175"/>
      <c r="B93" s="176"/>
      <c r="C93" s="176"/>
      <c r="D93" s="176"/>
      <c r="E93" s="175"/>
      <c r="F93" s="177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9"/>
      <c r="W93" s="180"/>
      <c r="X93" s="181"/>
      <c r="Y93" s="179"/>
      <c r="Z93" s="182"/>
      <c r="AA93" s="175"/>
      <c r="AB93" s="170"/>
      <c r="AC93" s="170"/>
      <c r="AD93" s="170"/>
      <c r="AE93" s="170"/>
      <c r="AF93" s="170"/>
      <c r="AG93" s="170"/>
    </row>
    <row r="94" spans="1:33" ht="30" customHeight="1">
      <c r="A94" s="175"/>
      <c r="B94" s="176"/>
      <c r="C94" s="176"/>
      <c r="D94" s="176"/>
      <c r="E94" s="175"/>
      <c r="F94" s="177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9"/>
      <c r="W94" s="180"/>
      <c r="X94" s="181"/>
      <c r="Y94" s="179"/>
      <c r="Z94" s="182"/>
      <c r="AA94" s="175"/>
      <c r="AB94" s="170"/>
      <c r="AC94" s="170"/>
      <c r="AD94" s="170"/>
      <c r="AE94" s="170"/>
      <c r="AF94" s="170"/>
      <c r="AG94" s="170"/>
    </row>
    <row r="95" spans="1:33" ht="30" customHeight="1">
      <c r="A95" s="175"/>
      <c r="B95" s="176"/>
      <c r="C95" s="176"/>
      <c r="D95" s="176"/>
      <c r="E95" s="175"/>
      <c r="F95" s="177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9"/>
      <c r="W95" s="180"/>
      <c r="X95" s="181"/>
      <c r="Y95" s="179"/>
      <c r="Z95" s="182"/>
      <c r="AA95" s="175"/>
      <c r="AB95" s="170"/>
      <c r="AC95" s="170"/>
      <c r="AD95" s="170"/>
      <c r="AE95" s="170"/>
      <c r="AF95" s="170"/>
      <c r="AG95" s="170"/>
    </row>
    <row r="96" spans="1:33" ht="30" customHeight="1">
      <c r="A96" s="175"/>
      <c r="B96" s="176"/>
      <c r="C96" s="176"/>
      <c r="D96" s="176"/>
      <c r="E96" s="175"/>
      <c r="F96" s="177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9"/>
      <c r="W96" s="180"/>
      <c r="X96" s="181"/>
      <c r="Y96" s="179"/>
      <c r="Z96" s="182"/>
      <c r="AA96" s="175"/>
      <c r="AB96" s="170"/>
      <c r="AC96" s="170"/>
      <c r="AD96" s="170"/>
      <c r="AE96" s="170"/>
      <c r="AF96" s="170"/>
      <c r="AG96" s="170"/>
    </row>
    <row r="97" spans="1:33" ht="30" customHeight="1">
      <c r="A97" s="175"/>
      <c r="B97" s="176"/>
      <c r="C97" s="176"/>
      <c r="D97" s="176"/>
      <c r="E97" s="175"/>
      <c r="F97" s="177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9"/>
      <c r="W97" s="180"/>
      <c r="X97" s="181"/>
      <c r="Y97" s="179"/>
      <c r="Z97" s="182"/>
      <c r="AA97" s="175"/>
      <c r="AB97" s="170"/>
      <c r="AC97" s="170"/>
      <c r="AD97" s="170"/>
      <c r="AE97" s="170"/>
      <c r="AF97" s="170"/>
      <c r="AG97" s="170"/>
    </row>
    <row r="98" spans="1:33" ht="30" customHeight="1">
      <c r="A98" s="175"/>
      <c r="B98" s="176"/>
      <c r="C98" s="176"/>
      <c r="D98" s="176"/>
      <c r="E98" s="175"/>
      <c r="F98" s="177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9"/>
      <c r="W98" s="180"/>
      <c r="X98" s="181"/>
      <c r="Y98" s="179"/>
      <c r="Z98" s="182"/>
      <c r="AA98" s="175"/>
      <c r="AB98" s="170"/>
      <c r="AC98" s="170"/>
      <c r="AD98" s="170"/>
      <c r="AE98" s="170"/>
      <c r="AF98" s="170"/>
      <c r="AG98" s="170"/>
    </row>
    <row r="99" spans="1:33" ht="30" customHeight="1">
      <c r="A99" s="175"/>
      <c r="B99" s="176"/>
      <c r="C99" s="176"/>
      <c r="D99" s="176"/>
      <c r="E99" s="175"/>
      <c r="F99" s="177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9"/>
      <c r="W99" s="180"/>
      <c r="X99" s="181"/>
      <c r="Y99" s="179"/>
      <c r="Z99" s="182"/>
      <c r="AA99" s="175"/>
      <c r="AB99" s="170"/>
      <c r="AC99" s="170"/>
      <c r="AD99" s="170"/>
      <c r="AE99" s="170"/>
      <c r="AF99" s="170"/>
      <c r="AG99" s="170"/>
    </row>
    <row r="100" spans="1:33" ht="30" customHeight="1">
      <c r="A100" s="175"/>
      <c r="B100" s="176"/>
      <c r="C100" s="176"/>
      <c r="D100" s="176"/>
      <c r="E100" s="175"/>
      <c r="F100" s="177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9"/>
      <c r="W100" s="180"/>
      <c r="X100" s="181"/>
      <c r="Y100" s="179"/>
      <c r="Z100" s="182"/>
      <c r="AA100" s="175"/>
      <c r="AB100" s="170"/>
      <c r="AC100" s="170"/>
      <c r="AD100" s="170"/>
      <c r="AE100" s="170"/>
      <c r="AF100" s="170"/>
      <c r="AG100" s="170"/>
    </row>
    <row r="101" spans="1:33" ht="30" customHeight="1">
      <c r="A101" s="175"/>
      <c r="B101" s="176"/>
      <c r="C101" s="176"/>
      <c r="D101" s="176"/>
      <c r="E101" s="175"/>
      <c r="F101" s="177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9"/>
      <c r="W101" s="180"/>
      <c r="X101" s="181"/>
      <c r="Y101" s="179"/>
      <c r="Z101" s="182"/>
      <c r="AA101" s="175"/>
      <c r="AB101" s="170"/>
      <c r="AC101" s="170"/>
      <c r="AD101" s="170"/>
      <c r="AE101" s="170"/>
      <c r="AF101" s="170"/>
      <c r="AG101" s="170"/>
    </row>
    <row r="102" spans="1:33" ht="30" customHeight="1">
      <c r="A102" s="175"/>
      <c r="B102" s="176"/>
      <c r="C102" s="176"/>
      <c r="D102" s="176"/>
      <c r="E102" s="175"/>
      <c r="F102" s="177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9"/>
      <c r="W102" s="180"/>
      <c r="X102" s="181"/>
      <c r="Y102" s="179"/>
      <c r="Z102" s="182"/>
      <c r="AA102" s="175"/>
      <c r="AB102" s="170"/>
      <c r="AC102" s="170"/>
      <c r="AD102" s="170"/>
      <c r="AE102" s="170"/>
      <c r="AF102" s="170"/>
      <c r="AG102" s="170"/>
    </row>
    <row r="103" spans="1:33" ht="30" customHeight="1">
      <c r="A103" s="175"/>
      <c r="B103" s="176"/>
      <c r="C103" s="176"/>
      <c r="D103" s="176"/>
      <c r="E103" s="175"/>
      <c r="F103" s="177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9"/>
      <c r="W103" s="180"/>
      <c r="X103" s="181"/>
      <c r="Y103" s="179"/>
      <c r="Z103" s="182"/>
      <c r="AA103" s="175"/>
      <c r="AB103" s="170"/>
      <c r="AC103" s="170"/>
      <c r="AD103" s="170"/>
      <c r="AE103" s="170"/>
      <c r="AF103" s="170"/>
      <c r="AG103" s="170"/>
    </row>
    <row r="104" spans="1:33" ht="30" customHeight="1">
      <c r="A104" s="175"/>
      <c r="B104" s="176"/>
      <c r="C104" s="176"/>
      <c r="D104" s="176"/>
      <c r="E104" s="175"/>
      <c r="F104" s="177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9"/>
      <c r="W104" s="180"/>
      <c r="X104" s="181"/>
      <c r="Y104" s="179"/>
      <c r="Z104" s="182"/>
      <c r="AA104" s="175"/>
      <c r="AB104" s="170"/>
      <c r="AC104" s="170"/>
      <c r="AD104" s="170"/>
      <c r="AE104" s="170"/>
      <c r="AF104" s="170"/>
      <c r="AG104" s="170"/>
    </row>
    <row r="105" spans="1:33" ht="30" customHeight="1">
      <c r="A105" s="175"/>
      <c r="B105" s="176"/>
      <c r="C105" s="176"/>
      <c r="D105" s="176"/>
      <c r="E105" s="175"/>
      <c r="F105" s="177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9"/>
      <c r="W105" s="180"/>
      <c r="X105" s="181"/>
      <c r="Y105" s="179"/>
      <c r="Z105" s="182"/>
      <c r="AA105" s="175"/>
      <c r="AB105" s="170"/>
      <c r="AC105" s="170"/>
      <c r="AD105" s="170"/>
      <c r="AE105" s="170"/>
      <c r="AF105" s="170"/>
      <c r="AG105" s="170"/>
    </row>
    <row r="106" spans="1:33" ht="30" customHeight="1">
      <c r="A106" s="175"/>
      <c r="B106" s="176"/>
      <c r="C106" s="176"/>
      <c r="D106" s="176"/>
      <c r="E106" s="175"/>
      <c r="F106" s="177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9"/>
      <c r="W106" s="180"/>
      <c r="X106" s="181"/>
      <c r="Y106" s="179"/>
      <c r="Z106" s="182"/>
      <c r="AA106" s="175"/>
      <c r="AB106" s="170"/>
      <c r="AC106" s="170"/>
      <c r="AD106" s="170"/>
      <c r="AE106" s="170"/>
      <c r="AF106" s="170"/>
      <c r="AG106" s="170"/>
    </row>
    <row r="107" spans="1:33" ht="30" customHeight="1">
      <c r="A107" s="175"/>
      <c r="B107" s="176"/>
      <c r="C107" s="176"/>
      <c r="D107" s="176"/>
      <c r="E107" s="175"/>
      <c r="F107" s="177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9"/>
      <c r="W107" s="180"/>
      <c r="X107" s="181"/>
      <c r="Y107" s="179"/>
      <c r="Z107" s="182"/>
      <c r="AA107" s="175"/>
      <c r="AB107" s="170"/>
      <c r="AC107" s="170"/>
      <c r="AD107" s="170"/>
      <c r="AE107" s="170"/>
      <c r="AF107" s="170"/>
      <c r="AG107" s="170"/>
    </row>
    <row r="108" spans="1:33" ht="30" customHeight="1">
      <c r="A108" s="175"/>
      <c r="B108" s="176"/>
      <c r="C108" s="176"/>
      <c r="D108" s="176"/>
      <c r="E108" s="175"/>
      <c r="F108" s="177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9"/>
      <c r="W108" s="180"/>
      <c r="X108" s="181"/>
      <c r="Y108" s="179"/>
      <c r="Z108" s="182"/>
      <c r="AA108" s="175"/>
      <c r="AB108" s="170"/>
      <c r="AC108" s="170"/>
      <c r="AD108" s="170"/>
      <c r="AE108" s="170"/>
      <c r="AF108" s="170"/>
      <c r="AG108" s="170"/>
    </row>
    <row r="109" spans="1:33" ht="30" customHeight="1">
      <c r="A109" s="175"/>
      <c r="B109" s="176"/>
      <c r="C109" s="176"/>
      <c r="D109" s="176"/>
      <c r="E109" s="175"/>
      <c r="F109" s="177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9"/>
      <c r="W109" s="180"/>
      <c r="X109" s="181"/>
      <c r="Y109" s="179"/>
      <c r="Z109" s="182"/>
      <c r="AA109" s="175"/>
      <c r="AB109" s="170"/>
      <c r="AC109" s="170"/>
      <c r="AD109" s="170"/>
      <c r="AE109" s="170"/>
      <c r="AF109" s="170"/>
      <c r="AG109" s="170"/>
    </row>
    <row r="110" spans="1:33" ht="30" customHeight="1">
      <c r="A110" s="175"/>
      <c r="B110" s="176"/>
      <c r="C110" s="176"/>
      <c r="D110" s="176"/>
      <c r="E110" s="175"/>
      <c r="F110" s="177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9"/>
      <c r="W110" s="180"/>
      <c r="X110" s="181"/>
      <c r="Y110" s="179"/>
      <c r="Z110" s="182"/>
      <c r="AA110" s="175"/>
      <c r="AB110" s="170"/>
      <c r="AC110" s="170"/>
      <c r="AD110" s="170"/>
      <c r="AE110" s="170"/>
      <c r="AF110" s="170"/>
      <c r="AG110" s="170"/>
    </row>
    <row r="111" spans="1:33" ht="30" customHeight="1">
      <c r="A111" s="175"/>
      <c r="B111" s="176"/>
      <c r="C111" s="176"/>
      <c r="D111" s="176"/>
      <c r="E111" s="175"/>
      <c r="F111" s="177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9"/>
      <c r="W111" s="180"/>
      <c r="X111" s="181"/>
      <c r="Y111" s="179"/>
      <c r="Z111" s="182"/>
      <c r="AA111" s="175"/>
      <c r="AB111" s="170"/>
      <c r="AC111" s="170"/>
      <c r="AD111" s="170"/>
      <c r="AE111" s="170"/>
      <c r="AF111" s="170"/>
      <c r="AG111" s="170"/>
    </row>
    <row r="112" spans="1:33" ht="30" customHeight="1">
      <c r="A112" s="175"/>
      <c r="B112" s="176"/>
      <c r="C112" s="176"/>
      <c r="D112" s="176"/>
      <c r="E112" s="175"/>
      <c r="F112" s="177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9"/>
      <c r="W112" s="180"/>
      <c r="X112" s="181"/>
      <c r="Y112" s="179"/>
      <c r="Z112" s="182"/>
      <c r="AA112" s="175"/>
      <c r="AB112" s="170"/>
      <c r="AC112" s="170"/>
      <c r="AD112" s="170"/>
      <c r="AE112" s="170"/>
      <c r="AF112" s="170"/>
      <c r="AG112" s="170"/>
    </row>
    <row r="113" spans="1:33" ht="30" customHeight="1">
      <c r="A113" s="175"/>
      <c r="B113" s="176"/>
      <c r="C113" s="176"/>
      <c r="D113" s="176"/>
      <c r="E113" s="175"/>
      <c r="F113" s="177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9"/>
      <c r="W113" s="180"/>
      <c r="X113" s="181"/>
      <c r="Y113" s="179"/>
      <c r="Z113" s="182"/>
      <c r="AA113" s="175"/>
      <c r="AB113" s="170"/>
      <c r="AC113" s="170"/>
      <c r="AD113" s="170"/>
      <c r="AE113" s="170"/>
      <c r="AF113" s="170"/>
      <c r="AG113" s="170"/>
    </row>
    <row r="114" spans="1:33" ht="30" customHeight="1">
      <c r="A114" s="175"/>
      <c r="B114" s="176"/>
      <c r="C114" s="176"/>
      <c r="D114" s="176"/>
      <c r="E114" s="175"/>
      <c r="F114" s="177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9"/>
      <c r="W114" s="180"/>
      <c r="X114" s="181"/>
      <c r="Y114" s="179"/>
      <c r="Z114" s="182"/>
      <c r="AA114" s="175"/>
      <c r="AB114" s="170"/>
      <c r="AC114" s="170"/>
      <c r="AD114" s="170"/>
      <c r="AE114" s="170"/>
      <c r="AF114" s="170"/>
      <c r="AG114" s="170"/>
    </row>
    <row r="115" spans="1:33" ht="30" customHeight="1">
      <c r="A115" s="175"/>
      <c r="B115" s="176"/>
      <c r="C115" s="176"/>
      <c r="D115" s="176"/>
      <c r="E115" s="175"/>
      <c r="F115" s="177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9"/>
      <c r="W115" s="180"/>
      <c r="X115" s="181"/>
      <c r="Y115" s="179"/>
      <c r="Z115" s="182"/>
      <c r="AA115" s="175"/>
      <c r="AB115" s="170"/>
      <c r="AC115" s="170"/>
      <c r="AD115" s="170"/>
      <c r="AE115" s="170"/>
      <c r="AF115" s="170"/>
      <c r="AG115" s="170"/>
    </row>
    <row r="116" spans="1:33" ht="30" customHeight="1">
      <c r="A116" s="175"/>
      <c r="B116" s="176"/>
      <c r="C116" s="176"/>
      <c r="D116" s="176"/>
      <c r="E116" s="175"/>
      <c r="F116" s="177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9"/>
      <c r="W116" s="180"/>
      <c r="X116" s="181"/>
      <c r="Y116" s="179"/>
      <c r="Z116" s="182"/>
      <c r="AA116" s="175"/>
      <c r="AB116" s="170"/>
      <c r="AC116" s="170"/>
      <c r="AD116" s="170"/>
      <c r="AE116" s="170"/>
      <c r="AF116" s="170"/>
      <c r="AG116" s="170"/>
    </row>
    <row r="117" spans="1:33" ht="30" customHeight="1">
      <c r="A117" s="175"/>
      <c r="B117" s="176"/>
      <c r="C117" s="176"/>
      <c r="D117" s="176"/>
      <c r="E117" s="175"/>
      <c r="F117" s="177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9"/>
      <c r="W117" s="180"/>
      <c r="X117" s="181"/>
      <c r="Y117" s="179"/>
      <c r="Z117" s="182"/>
      <c r="AA117" s="175"/>
      <c r="AB117" s="170"/>
      <c r="AC117" s="170"/>
      <c r="AD117" s="170"/>
      <c r="AE117" s="170"/>
      <c r="AF117" s="170"/>
      <c r="AG117" s="170"/>
    </row>
    <row r="118" spans="1:33" ht="30" customHeight="1">
      <c r="A118" s="175"/>
      <c r="B118" s="176"/>
      <c r="C118" s="176"/>
      <c r="D118" s="176"/>
      <c r="E118" s="175"/>
      <c r="F118" s="177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9"/>
      <c r="W118" s="180"/>
      <c r="X118" s="181"/>
      <c r="Y118" s="179"/>
      <c r="Z118" s="182"/>
      <c r="AA118" s="175"/>
      <c r="AB118" s="170"/>
      <c r="AC118" s="170"/>
      <c r="AD118" s="170"/>
      <c r="AE118" s="170"/>
      <c r="AF118" s="170"/>
      <c r="AG118" s="170"/>
    </row>
    <row r="119" spans="1:33" ht="30" customHeight="1">
      <c r="A119" s="175"/>
      <c r="B119" s="176"/>
      <c r="C119" s="176"/>
      <c r="D119" s="176"/>
      <c r="E119" s="175"/>
      <c r="F119" s="177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9"/>
      <c r="W119" s="180"/>
      <c r="X119" s="181"/>
      <c r="Y119" s="179"/>
      <c r="Z119" s="182"/>
      <c r="AA119" s="175"/>
      <c r="AB119" s="170"/>
      <c r="AC119" s="170"/>
      <c r="AD119" s="170"/>
      <c r="AE119" s="170"/>
      <c r="AF119" s="170"/>
      <c r="AG119" s="170"/>
    </row>
    <row r="120" spans="1:33" ht="30" customHeight="1">
      <c r="A120" s="175"/>
      <c r="B120" s="176"/>
      <c r="C120" s="176"/>
      <c r="D120" s="176"/>
      <c r="E120" s="175"/>
      <c r="F120" s="177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9"/>
      <c r="W120" s="180"/>
      <c r="X120" s="181"/>
      <c r="Y120" s="179"/>
      <c r="Z120" s="182"/>
      <c r="AA120" s="175"/>
      <c r="AB120" s="170"/>
      <c r="AC120" s="170"/>
      <c r="AD120" s="170"/>
      <c r="AE120" s="170"/>
      <c r="AF120" s="170"/>
      <c r="AG120" s="170"/>
    </row>
    <row r="121" spans="1:33" ht="30" customHeight="1">
      <c r="A121" s="175"/>
      <c r="B121" s="176"/>
      <c r="C121" s="176"/>
      <c r="D121" s="176"/>
      <c r="E121" s="175"/>
      <c r="F121" s="177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9"/>
      <c r="W121" s="180"/>
      <c r="X121" s="181"/>
      <c r="Y121" s="179"/>
      <c r="Z121" s="182"/>
      <c r="AA121" s="175"/>
      <c r="AB121" s="170"/>
      <c r="AC121" s="170"/>
      <c r="AD121" s="170"/>
      <c r="AE121" s="170"/>
      <c r="AF121" s="170"/>
      <c r="AG121" s="170"/>
    </row>
    <row r="122" spans="1:33" ht="30" customHeight="1">
      <c r="A122" s="175"/>
      <c r="B122" s="176"/>
      <c r="C122" s="176"/>
      <c r="D122" s="176"/>
      <c r="E122" s="175"/>
      <c r="F122" s="177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9"/>
      <c r="W122" s="180"/>
      <c r="X122" s="181"/>
      <c r="Y122" s="179"/>
      <c r="Z122" s="182"/>
      <c r="AA122" s="175"/>
      <c r="AB122" s="170"/>
      <c r="AC122" s="170"/>
      <c r="AD122" s="170"/>
      <c r="AE122" s="170"/>
      <c r="AF122" s="170"/>
      <c r="AG122" s="170"/>
    </row>
    <row r="123" spans="1:33" ht="30" customHeight="1">
      <c r="A123" s="175"/>
      <c r="B123" s="176"/>
      <c r="C123" s="176"/>
      <c r="D123" s="176"/>
      <c r="E123" s="175"/>
      <c r="F123" s="177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9"/>
      <c r="W123" s="180"/>
      <c r="X123" s="181"/>
      <c r="Y123" s="179"/>
      <c r="Z123" s="182"/>
      <c r="AA123" s="175"/>
      <c r="AB123" s="170"/>
      <c r="AC123" s="170"/>
      <c r="AD123" s="170"/>
      <c r="AE123" s="170"/>
      <c r="AF123" s="170"/>
      <c r="AG123" s="170"/>
    </row>
    <row r="124" spans="1:33" ht="30" customHeight="1">
      <c r="A124" s="175"/>
      <c r="B124" s="176"/>
      <c r="C124" s="176"/>
      <c r="D124" s="176"/>
      <c r="E124" s="175"/>
      <c r="F124" s="177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9"/>
      <c r="W124" s="180"/>
      <c r="X124" s="181"/>
      <c r="Y124" s="179"/>
      <c r="Z124" s="182"/>
      <c r="AA124" s="175"/>
      <c r="AB124" s="170"/>
      <c r="AC124" s="170"/>
      <c r="AD124" s="170"/>
      <c r="AE124" s="170"/>
      <c r="AF124" s="170"/>
      <c r="AG124" s="170"/>
    </row>
    <row r="125" spans="1:33" ht="30" customHeight="1">
      <c r="A125" s="175"/>
      <c r="B125" s="176"/>
      <c r="C125" s="176"/>
      <c r="D125" s="176"/>
      <c r="E125" s="175"/>
      <c r="F125" s="177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9"/>
      <c r="W125" s="180"/>
      <c r="X125" s="181"/>
      <c r="Y125" s="179"/>
      <c r="Z125" s="182"/>
      <c r="AA125" s="175"/>
      <c r="AB125" s="170"/>
      <c r="AC125" s="170"/>
      <c r="AD125" s="170"/>
      <c r="AE125" s="170"/>
      <c r="AF125" s="170"/>
      <c r="AG125" s="170"/>
    </row>
    <row r="126" spans="1:33" ht="30" customHeight="1">
      <c r="A126" s="175"/>
      <c r="B126" s="176"/>
      <c r="C126" s="176"/>
      <c r="D126" s="176"/>
      <c r="E126" s="175"/>
      <c r="F126" s="177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9"/>
      <c r="W126" s="180"/>
      <c r="X126" s="181"/>
      <c r="Y126" s="179"/>
      <c r="Z126" s="182"/>
      <c r="AA126" s="175"/>
      <c r="AB126" s="170"/>
      <c r="AC126" s="170"/>
      <c r="AD126" s="170"/>
      <c r="AE126" s="170"/>
      <c r="AF126" s="170"/>
      <c r="AG126" s="170"/>
    </row>
    <row r="127" spans="1:33" ht="30" customHeight="1">
      <c r="A127" s="175"/>
      <c r="B127" s="176"/>
      <c r="C127" s="176"/>
      <c r="D127" s="176"/>
      <c r="E127" s="175"/>
      <c r="F127" s="177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9"/>
      <c r="W127" s="180"/>
      <c r="X127" s="181"/>
      <c r="Y127" s="179"/>
      <c r="Z127" s="182"/>
      <c r="AA127" s="175"/>
      <c r="AB127" s="170"/>
      <c r="AC127" s="170"/>
      <c r="AD127" s="170"/>
      <c r="AE127" s="170"/>
      <c r="AF127" s="170"/>
      <c r="AG127" s="170"/>
    </row>
    <row r="128" spans="1:33" ht="30" customHeight="1">
      <c r="A128" s="175"/>
      <c r="B128" s="176"/>
      <c r="C128" s="176"/>
      <c r="D128" s="176"/>
      <c r="E128" s="175"/>
      <c r="F128" s="177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9"/>
      <c r="W128" s="180"/>
      <c r="X128" s="181"/>
      <c r="Y128" s="179"/>
      <c r="Z128" s="182"/>
      <c r="AA128" s="175"/>
      <c r="AB128" s="170"/>
      <c r="AC128" s="170"/>
      <c r="AD128" s="170"/>
      <c r="AE128" s="170"/>
      <c r="AF128" s="170"/>
      <c r="AG128" s="170"/>
    </row>
    <row r="129" spans="1:33" ht="30" customHeight="1">
      <c r="A129" s="175"/>
      <c r="B129" s="176"/>
      <c r="C129" s="176"/>
      <c r="D129" s="176"/>
      <c r="E129" s="175"/>
      <c r="F129" s="177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9"/>
      <c r="W129" s="180"/>
      <c r="X129" s="181"/>
      <c r="Y129" s="179"/>
      <c r="Z129" s="182"/>
      <c r="AA129" s="175"/>
      <c r="AB129" s="170"/>
      <c r="AC129" s="170"/>
      <c r="AD129" s="170"/>
      <c r="AE129" s="170"/>
      <c r="AF129" s="170"/>
      <c r="AG129" s="170"/>
    </row>
    <row r="130" spans="1:33" ht="30" customHeight="1">
      <c r="A130" s="175"/>
      <c r="B130" s="176"/>
      <c r="C130" s="176"/>
      <c r="D130" s="176"/>
      <c r="E130" s="175"/>
      <c r="F130" s="177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9"/>
      <c r="W130" s="180"/>
      <c r="X130" s="181"/>
      <c r="Y130" s="179"/>
      <c r="Z130" s="182"/>
      <c r="AA130" s="175"/>
      <c r="AB130" s="170"/>
      <c r="AC130" s="170"/>
      <c r="AD130" s="170"/>
      <c r="AE130" s="170"/>
      <c r="AF130" s="170"/>
      <c r="AG130" s="170"/>
    </row>
    <row r="131" spans="1:33" ht="30" customHeight="1">
      <c r="A131" s="175"/>
      <c r="B131" s="176"/>
      <c r="C131" s="176"/>
      <c r="D131" s="176"/>
      <c r="E131" s="175"/>
      <c r="F131" s="177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9"/>
      <c r="W131" s="180"/>
      <c r="X131" s="181"/>
      <c r="Y131" s="179"/>
      <c r="Z131" s="182"/>
      <c r="AA131" s="175"/>
      <c r="AB131" s="170"/>
      <c r="AC131" s="170"/>
      <c r="AD131" s="170"/>
      <c r="AE131" s="170"/>
      <c r="AF131" s="170"/>
      <c r="AG131" s="170"/>
    </row>
    <row r="132" spans="1:33" ht="30" customHeight="1">
      <c r="A132" s="175"/>
      <c r="B132" s="176"/>
      <c r="C132" s="176"/>
      <c r="D132" s="176"/>
      <c r="E132" s="175"/>
      <c r="F132" s="177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9"/>
      <c r="W132" s="180"/>
      <c r="X132" s="181"/>
      <c r="Y132" s="179"/>
      <c r="Z132" s="182"/>
      <c r="AA132" s="175"/>
      <c r="AB132" s="170"/>
      <c r="AC132" s="170"/>
      <c r="AD132" s="170"/>
      <c r="AE132" s="170"/>
      <c r="AF132" s="170"/>
      <c r="AG132" s="170"/>
    </row>
    <row r="133" spans="1:33" ht="30" customHeight="1">
      <c r="A133" s="175"/>
      <c r="B133" s="176"/>
      <c r="C133" s="176"/>
      <c r="D133" s="176"/>
      <c r="E133" s="175"/>
      <c r="F133" s="177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9"/>
      <c r="W133" s="180"/>
      <c r="X133" s="181"/>
      <c r="Y133" s="179"/>
      <c r="Z133" s="182"/>
      <c r="AA133" s="175"/>
      <c r="AB133" s="170"/>
      <c r="AC133" s="170"/>
      <c r="AD133" s="170"/>
      <c r="AE133" s="170"/>
      <c r="AF133" s="170"/>
      <c r="AG133" s="170"/>
    </row>
    <row r="134" spans="1:33" ht="30" customHeight="1">
      <c r="A134" s="175"/>
      <c r="B134" s="176"/>
      <c r="C134" s="176"/>
      <c r="D134" s="176"/>
      <c r="E134" s="175"/>
      <c r="F134" s="177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9"/>
      <c r="W134" s="180"/>
      <c r="X134" s="181"/>
      <c r="Y134" s="179"/>
      <c r="Z134" s="182"/>
      <c r="AA134" s="175"/>
      <c r="AB134" s="170"/>
      <c r="AC134" s="170"/>
      <c r="AD134" s="170"/>
      <c r="AE134" s="170"/>
      <c r="AF134" s="170"/>
      <c r="AG134" s="170"/>
    </row>
    <row r="135" spans="1:33" ht="30" customHeight="1">
      <c r="A135" s="175"/>
      <c r="B135" s="176"/>
      <c r="C135" s="176"/>
      <c r="D135" s="176"/>
      <c r="E135" s="175"/>
      <c r="F135" s="177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9"/>
      <c r="W135" s="180"/>
      <c r="X135" s="181"/>
      <c r="Y135" s="179"/>
      <c r="Z135" s="182"/>
      <c r="AA135" s="175"/>
      <c r="AB135" s="170"/>
      <c r="AC135" s="170"/>
      <c r="AD135" s="170"/>
      <c r="AE135" s="170"/>
      <c r="AF135" s="170"/>
      <c r="AG135" s="170"/>
    </row>
    <row r="136" spans="1:33" ht="30" customHeight="1">
      <c r="A136" s="175"/>
      <c r="B136" s="176"/>
      <c r="C136" s="176"/>
      <c r="D136" s="176"/>
      <c r="E136" s="175"/>
      <c r="F136" s="177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9"/>
      <c r="W136" s="180"/>
      <c r="X136" s="181"/>
      <c r="Y136" s="179"/>
      <c r="Z136" s="182"/>
      <c r="AA136" s="175"/>
      <c r="AB136" s="170"/>
      <c r="AC136" s="170"/>
      <c r="AD136" s="170"/>
      <c r="AE136" s="170"/>
      <c r="AF136" s="170"/>
      <c r="AG136" s="170"/>
    </row>
    <row r="137" spans="1:33" ht="30" customHeight="1">
      <c r="A137" s="175"/>
      <c r="B137" s="176"/>
      <c r="C137" s="176"/>
      <c r="D137" s="176"/>
      <c r="E137" s="175"/>
      <c r="F137" s="177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9"/>
      <c r="W137" s="180"/>
      <c r="X137" s="181"/>
      <c r="Y137" s="179"/>
      <c r="Z137" s="182"/>
      <c r="AA137" s="175"/>
      <c r="AB137" s="170"/>
      <c r="AC137" s="170"/>
      <c r="AD137" s="170"/>
      <c r="AE137" s="170"/>
      <c r="AF137" s="170"/>
      <c r="AG137" s="170"/>
    </row>
    <row r="138" spans="1:33" ht="30" customHeight="1">
      <c r="A138" s="175"/>
      <c r="B138" s="176"/>
      <c r="C138" s="176"/>
      <c r="D138" s="176"/>
      <c r="E138" s="175"/>
      <c r="F138" s="177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9"/>
      <c r="W138" s="180"/>
      <c r="X138" s="181"/>
      <c r="Y138" s="179"/>
      <c r="Z138" s="182"/>
      <c r="AA138" s="175"/>
      <c r="AB138" s="170"/>
      <c r="AC138" s="170"/>
      <c r="AD138" s="170"/>
      <c r="AE138" s="170"/>
      <c r="AF138" s="170"/>
      <c r="AG138" s="170"/>
    </row>
    <row r="139" spans="1:33" ht="30" customHeight="1">
      <c r="A139" s="175"/>
      <c r="B139" s="176"/>
      <c r="C139" s="176"/>
      <c r="D139" s="176"/>
      <c r="E139" s="175"/>
      <c r="F139" s="177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9"/>
      <c r="W139" s="180"/>
      <c r="X139" s="181"/>
      <c r="Y139" s="179"/>
      <c r="Z139" s="182"/>
      <c r="AA139" s="175"/>
      <c r="AB139" s="170"/>
      <c r="AC139" s="170"/>
      <c r="AD139" s="170"/>
      <c r="AE139" s="170"/>
      <c r="AF139" s="170"/>
      <c r="AG139" s="170"/>
    </row>
    <row r="140" spans="1:33" ht="30" customHeight="1">
      <c r="A140" s="175"/>
      <c r="B140" s="176"/>
      <c r="C140" s="176"/>
      <c r="D140" s="176"/>
      <c r="E140" s="175"/>
      <c r="F140" s="177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9"/>
      <c r="W140" s="180"/>
      <c r="X140" s="181"/>
      <c r="Y140" s="179"/>
      <c r="Z140" s="182"/>
      <c r="AA140" s="175"/>
      <c r="AB140" s="170"/>
      <c r="AC140" s="170"/>
      <c r="AD140" s="170"/>
      <c r="AE140" s="170"/>
      <c r="AF140" s="170"/>
      <c r="AG140" s="170"/>
    </row>
    <row r="141" spans="1:33" ht="30" customHeight="1">
      <c r="A141" s="175"/>
      <c r="B141" s="176"/>
      <c r="C141" s="176"/>
      <c r="D141" s="176"/>
      <c r="E141" s="175"/>
      <c r="F141" s="177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9"/>
      <c r="W141" s="180"/>
      <c r="X141" s="181"/>
      <c r="Y141" s="179"/>
      <c r="Z141" s="182"/>
      <c r="AA141" s="175"/>
      <c r="AB141" s="170"/>
      <c r="AC141" s="170"/>
      <c r="AD141" s="170"/>
      <c r="AE141" s="170"/>
      <c r="AF141" s="170"/>
      <c r="AG141" s="170"/>
    </row>
    <row r="142" spans="1:33" ht="30" customHeight="1">
      <c r="A142" s="175"/>
      <c r="B142" s="176"/>
      <c r="C142" s="176"/>
      <c r="D142" s="176"/>
      <c r="E142" s="175"/>
      <c r="F142" s="177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9"/>
      <c r="W142" s="180"/>
      <c r="X142" s="181"/>
      <c r="Y142" s="179"/>
      <c r="Z142" s="182"/>
      <c r="AA142" s="175"/>
      <c r="AB142" s="170"/>
      <c r="AC142" s="170"/>
      <c r="AD142" s="170"/>
      <c r="AE142" s="170"/>
      <c r="AF142" s="170"/>
      <c r="AG142" s="170"/>
    </row>
    <row r="143" spans="1:33" ht="30" customHeight="1">
      <c r="A143" s="175"/>
      <c r="B143" s="176"/>
      <c r="C143" s="176"/>
      <c r="D143" s="176"/>
      <c r="E143" s="175"/>
      <c r="F143" s="177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9"/>
      <c r="W143" s="180"/>
      <c r="X143" s="181"/>
      <c r="Y143" s="179"/>
      <c r="Z143" s="182"/>
      <c r="AA143" s="175"/>
      <c r="AB143" s="170"/>
      <c r="AC143" s="170"/>
      <c r="AD143" s="170"/>
      <c r="AE143" s="170"/>
      <c r="AF143" s="170"/>
      <c r="AG143" s="170"/>
    </row>
    <row r="144" spans="1:33" ht="30" customHeight="1">
      <c r="A144" s="175"/>
      <c r="B144" s="176"/>
      <c r="C144" s="176"/>
      <c r="D144" s="176"/>
      <c r="E144" s="175"/>
      <c r="F144" s="177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9"/>
      <c r="W144" s="180"/>
      <c r="X144" s="181"/>
      <c r="Y144" s="179"/>
      <c r="Z144" s="182"/>
      <c r="AA144" s="175"/>
      <c r="AB144" s="170"/>
      <c r="AC144" s="170"/>
      <c r="AD144" s="170"/>
      <c r="AE144" s="170"/>
      <c r="AF144" s="170"/>
      <c r="AG144" s="170"/>
    </row>
    <row r="145" spans="1:33" ht="30" customHeight="1">
      <c r="A145" s="175"/>
      <c r="B145" s="176"/>
      <c r="C145" s="176"/>
      <c r="D145" s="176"/>
      <c r="E145" s="175"/>
      <c r="F145" s="177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9"/>
      <c r="W145" s="180"/>
      <c r="X145" s="181"/>
      <c r="Y145" s="179"/>
      <c r="Z145" s="182"/>
      <c r="AA145" s="175"/>
      <c r="AB145" s="170"/>
      <c r="AC145" s="170"/>
      <c r="AD145" s="170"/>
      <c r="AE145" s="170"/>
      <c r="AF145" s="170"/>
      <c r="AG145" s="170"/>
    </row>
    <row r="146" spans="1:33" ht="30" customHeight="1">
      <c r="A146" s="175"/>
      <c r="B146" s="176"/>
      <c r="C146" s="176"/>
      <c r="D146" s="176"/>
      <c r="E146" s="175"/>
      <c r="F146" s="177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9"/>
      <c r="W146" s="180"/>
      <c r="X146" s="181"/>
      <c r="Y146" s="179"/>
      <c r="Z146" s="182"/>
      <c r="AA146" s="175"/>
      <c r="AB146" s="170"/>
      <c r="AC146" s="170"/>
      <c r="AD146" s="170"/>
      <c r="AE146" s="170"/>
      <c r="AF146" s="170"/>
      <c r="AG146" s="170"/>
    </row>
    <row r="147" spans="1:33" ht="30" customHeight="1">
      <c r="A147" s="175"/>
      <c r="B147" s="176"/>
      <c r="C147" s="176"/>
      <c r="D147" s="176"/>
      <c r="E147" s="175"/>
      <c r="F147" s="177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9"/>
      <c r="W147" s="180"/>
      <c r="X147" s="181"/>
      <c r="Y147" s="179"/>
      <c r="Z147" s="182"/>
      <c r="AA147" s="175"/>
      <c r="AB147" s="170"/>
      <c r="AC147" s="170"/>
      <c r="AD147" s="170"/>
      <c r="AE147" s="170"/>
      <c r="AF147" s="170"/>
      <c r="AG147" s="170"/>
    </row>
    <row r="148" spans="1:33" ht="30" customHeight="1">
      <c r="A148" s="175"/>
      <c r="B148" s="176"/>
      <c r="C148" s="176"/>
      <c r="D148" s="176"/>
      <c r="E148" s="175"/>
      <c r="F148" s="177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9"/>
      <c r="W148" s="180"/>
      <c r="X148" s="181"/>
      <c r="Y148" s="179"/>
      <c r="Z148" s="182"/>
      <c r="AA148" s="175"/>
      <c r="AB148" s="170"/>
      <c r="AC148" s="170"/>
      <c r="AD148" s="170"/>
      <c r="AE148" s="170"/>
      <c r="AF148" s="170"/>
      <c r="AG148" s="170"/>
    </row>
    <row r="149" spans="1:33" ht="30" customHeight="1">
      <c r="A149" s="175"/>
      <c r="B149" s="176"/>
      <c r="C149" s="176"/>
      <c r="D149" s="176"/>
      <c r="E149" s="175"/>
      <c r="F149" s="177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9"/>
      <c r="W149" s="180"/>
      <c r="X149" s="181"/>
      <c r="Y149" s="179"/>
      <c r="Z149" s="182"/>
      <c r="AA149" s="175"/>
      <c r="AB149" s="170"/>
      <c r="AC149" s="170"/>
      <c r="AD149" s="170"/>
      <c r="AE149" s="170"/>
      <c r="AF149" s="170"/>
      <c r="AG149" s="170"/>
    </row>
    <row r="150" spans="1:33" ht="30" customHeight="1">
      <c r="A150" s="175"/>
      <c r="B150" s="176"/>
      <c r="C150" s="176"/>
      <c r="D150" s="176"/>
      <c r="E150" s="175"/>
      <c r="F150" s="177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9"/>
      <c r="W150" s="180"/>
      <c r="X150" s="181"/>
      <c r="Y150" s="179"/>
      <c r="Z150" s="182"/>
      <c r="AA150" s="175"/>
      <c r="AB150" s="170"/>
      <c r="AC150" s="170"/>
      <c r="AD150" s="170"/>
      <c r="AE150" s="170"/>
      <c r="AF150" s="170"/>
      <c r="AG150" s="170"/>
    </row>
    <row r="151" spans="1:33" ht="30" customHeight="1">
      <c r="A151" s="175"/>
      <c r="B151" s="176"/>
      <c r="C151" s="176"/>
      <c r="D151" s="176"/>
      <c r="E151" s="175"/>
      <c r="F151" s="177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9"/>
      <c r="W151" s="180"/>
      <c r="X151" s="181"/>
      <c r="Y151" s="179"/>
      <c r="Z151" s="182"/>
      <c r="AA151" s="175"/>
      <c r="AB151" s="170"/>
      <c r="AC151" s="170"/>
      <c r="AD151" s="170"/>
      <c r="AE151" s="170"/>
      <c r="AF151" s="170"/>
      <c r="AG151" s="170"/>
    </row>
    <row r="152" spans="1:33" ht="30" customHeight="1">
      <c r="A152" s="175"/>
      <c r="B152" s="176"/>
      <c r="C152" s="176"/>
      <c r="D152" s="176"/>
      <c r="E152" s="175"/>
      <c r="F152" s="177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9"/>
      <c r="W152" s="180"/>
      <c r="X152" s="181"/>
      <c r="Y152" s="179"/>
      <c r="Z152" s="182"/>
      <c r="AA152" s="175"/>
      <c r="AB152" s="170"/>
      <c r="AC152" s="170"/>
      <c r="AD152" s="170"/>
      <c r="AE152" s="170"/>
      <c r="AF152" s="170"/>
      <c r="AG152" s="170"/>
    </row>
    <row r="153" spans="1:33" ht="30" customHeight="1">
      <c r="A153" s="175"/>
      <c r="B153" s="176"/>
      <c r="C153" s="176"/>
      <c r="D153" s="176"/>
      <c r="E153" s="175"/>
      <c r="F153" s="177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9"/>
      <c r="W153" s="180"/>
      <c r="X153" s="181"/>
      <c r="Y153" s="179"/>
      <c r="Z153" s="182"/>
      <c r="AA153" s="175"/>
      <c r="AB153" s="170"/>
      <c r="AC153" s="170"/>
      <c r="AD153" s="170"/>
      <c r="AE153" s="170"/>
      <c r="AF153" s="170"/>
      <c r="AG153" s="170"/>
    </row>
    <row r="154" spans="1:33" ht="30" customHeight="1">
      <c r="A154" s="175"/>
      <c r="B154" s="176"/>
      <c r="C154" s="176"/>
      <c r="D154" s="176"/>
      <c r="E154" s="175"/>
      <c r="F154" s="177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9"/>
      <c r="W154" s="180"/>
      <c r="X154" s="181"/>
      <c r="Y154" s="179"/>
      <c r="Z154" s="182"/>
      <c r="AA154" s="175"/>
      <c r="AB154" s="170"/>
      <c r="AC154" s="170"/>
      <c r="AD154" s="170"/>
      <c r="AE154" s="170"/>
      <c r="AF154" s="170"/>
      <c r="AG154" s="170"/>
    </row>
    <row r="155" spans="1:33" ht="30" customHeight="1">
      <c r="A155" s="175"/>
      <c r="B155" s="176"/>
      <c r="C155" s="176"/>
      <c r="D155" s="176"/>
      <c r="E155" s="175"/>
      <c r="F155" s="177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9"/>
      <c r="W155" s="180"/>
      <c r="X155" s="181"/>
      <c r="Y155" s="179"/>
      <c r="Z155" s="182"/>
      <c r="AA155" s="175"/>
      <c r="AB155" s="170"/>
      <c r="AC155" s="170"/>
      <c r="AD155" s="170"/>
      <c r="AE155" s="170"/>
      <c r="AF155" s="170"/>
      <c r="AG155" s="170"/>
    </row>
    <row r="156" spans="1:33" ht="30" customHeight="1">
      <c r="A156" s="175"/>
      <c r="B156" s="176"/>
      <c r="C156" s="176"/>
      <c r="D156" s="176"/>
      <c r="E156" s="175"/>
      <c r="F156" s="177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9"/>
      <c r="W156" s="180"/>
      <c r="X156" s="181"/>
      <c r="Y156" s="179"/>
      <c r="Z156" s="182"/>
      <c r="AA156" s="175"/>
      <c r="AB156" s="170"/>
      <c r="AC156" s="170"/>
      <c r="AD156" s="170"/>
      <c r="AE156" s="170"/>
      <c r="AF156" s="170"/>
      <c r="AG156" s="170"/>
    </row>
    <row r="157" spans="1:33" ht="30" customHeight="1">
      <c r="A157" s="175"/>
      <c r="B157" s="176"/>
      <c r="C157" s="176"/>
      <c r="D157" s="176"/>
      <c r="E157" s="175"/>
      <c r="F157" s="177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  <c r="U157" s="178"/>
      <c r="V157" s="179"/>
      <c r="W157" s="180"/>
      <c r="X157" s="181"/>
      <c r="Y157" s="179"/>
      <c r="Z157" s="182"/>
      <c r="AA157" s="175"/>
      <c r="AB157" s="170"/>
      <c r="AC157" s="170"/>
      <c r="AD157" s="170"/>
      <c r="AE157" s="170"/>
      <c r="AF157" s="170"/>
      <c r="AG157" s="170"/>
    </row>
    <row r="158" spans="1:33" ht="30" customHeight="1">
      <c r="A158" s="175"/>
      <c r="B158" s="176"/>
      <c r="C158" s="176"/>
      <c r="D158" s="176"/>
      <c r="E158" s="175"/>
      <c r="F158" s="177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9"/>
      <c r="W158" s="180"/>
      <c r="X158" s="181"/>
      <c r="Y158" s="179"/>
      <c r="Z158" s="182"/>
      <c r="AA158" s="175"/>
      <c r="AB158" s="170"/>
      <c r="AC158" s="170"/>
      <c r="AD158" s="170"/>
      <c r="AE158" s="170"/>
      <c r="AF158" s="170"/>
      <c r="AG158" s="170"/>
    </row>
    <row r="159" spans="1:33" ht="30" customHeight="1">
      <c r="A159" s="175"/>
      <c r="B159" s="176"/>
      <c r="C159" s="176"/>
      <c r="D159" s="176"/>
      <c r="E159" s="175"/>
      <c r="F159" s="177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9"/>
      <c r="W159" s="180"/>
      <c r="X159" s="181"/>
      <c r="Y159" s="179"/>
      <c r="Z159" s="182"/>
      <c r="AA159" s="175"/>
      <c r="AB159" s="170"/>
      <c r="AC159" s="170"/>
      <c r="AD159" s="170"/>
      <c r="AE159" s="170"/>
      <c r="AF159" s="170"/>
      <c r="AG159" s="170"/>
    </row>
    <row r="160" spans="1:33" ht="30" customHeight="1">
      <c r="A160" s="175"/>
      <c r="B160" s="176"/>
      <c r="C160" s="176"/>
      <c r="D160" s="176"/>
      <c r="E160" s="175"/>
      <c r="F160" s="177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9"/>
      <c r="W160" s="180"/>
      <c r="X160" s="181"/>
      <c r="Y160" s="179"/>
      <c r="Z160" s="182"/>
      <c r="AA160" s="175"/>
      <c r="AB160" s="170"/>
      <c r="AC160" s="170"/>
      <c r="AD160" s="170"/>
      <c r="AE160" s="170"/>
      <c r="AF160" s="170"/>
      <c r="AG160" s="170"/>
    </row>
    <row r="161" spans="1:33" ht="30" customHeight="1">
      <c r="A161" s="175"/>
      <c r="B161" s="176"/>
      <c r="C161" s="176"/>
      <c r="D161" s="176"/>
      <c r="E161" s="175"/>
      <c r="F161" s="177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9"/>
      <c r="W161" s="180"/>
      <c r="X161" s="181"/>
      <c r="Y161" s="179"/>
      <c r="Z161" s="182"/>
      <c r="AA161" s="175"/>
      <c r="AB161" s="170"/>
      <c r="AC161" s="170"/>
      <c r="AD161" s="170"/>
      <c r="AE161" s="170"/>
      <c r="AF161" s="170"/>
      <c r="AG161" s="170"/>
    </row>
    <row r="162" spans="1:33" ht="30" customHeight="1">
      <c r="A162" s="175"/>
      <c r="B162" s="176"/>
      <c r="C162" s="176"/>
      <c r="D162" s="176"/>
      <c r="E162" s="175"/>
      <c r="F162" s="177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9"/>
      <c r="W162" s="180"/>
      <c r="X162" s="181"/>
      <c r="Y162" s="179"/>
      <c r="Z162" s="182"/>
      <c r="AA162" s="175"/>
      <c r="AB162" s="170"/>
      <c r="AC162" s="170"/>
      <c r="AD162" s="170"/>
      <c r="AE162" s="170"/>
      <c r="AF162" s="170"/>
      <c r="AG162" s="170"/>
    </row>
    <row r="163" spans="1:33" ht="30" customHeight="1">
      <c r="A163" s="175"/>
      <c r="B163" s="176"/>
      <c r="C163" s="176"/>
      <c r="D163" s="176"/>
      <c r="E163" s="175"/>
      <c r="F163" s="177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9"/>
      <c r="W163" s="180"/>
      <c r="X163" s="181"/>
      <c r="Y163" s="179"/>
      <c r="Z163" s="182"/>
      <c r="AA163" s="175"/>
      <c r="AB163" s="170"/>
      <c r="AC163" s="170"/>
      <c r="AD163" s="170"/>
      <c r="AE163" s="170"/>
      <c r="AF163" s="170"/>
      <c r="AG163" s="170"/>
    </row>
    <row r="164" spans="1:33" ht="30" customHeight="1">
      <c r="A164" s="175"/>
      <c r="B164" s="176"/>
      <c r="C164" s="176"/>
      <c r="D164" s="176"/>
      <c r="E164" s="175"/>
      <c r="F164" s="177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9"/>
      <c r="W164" s="180"/>
      <c r="X164" s="181"/>
      <c r="Y164" s="179"/>
      <c r="Z164" s="182"/>
      <c r="AA164" s="175"/>
      <c r="AB164" s="170"/>
      <c r="AC164" s="170"/>
      <c r="AD164" s="170"/>
      <c r="AE164" s="170"/>
      <c r="AF164" s="170"/>
      <c r="AG164" s="170"/>
    </row>
    <row r="165" spans="1:33" ht="30" customHeight="1">
      <c r="A165" s="175"/>
      <c r="B165" s="176"/>
      <c r="C165" s="176"/>
      <c r="D165" s="176"/>
      <c r="E165" s="175"/>
      <c r="F165" s="177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9"/>
      <c r="W165" s="180"/>
      <c r="X165" s="181"/>
      <c r="Y165" s="179"/>
      <c r="Z165" s="182"/>
      <c r="AA165" s="175"/>
      <c r="AB165" s="170"/>
      <c r="AC165" s="170"/>
      <c r="AD165" s="170"/>
      <c r="AE165" s="170"/>
      <c r="AF165" s="170"/>
      <c r="AG165" s="170"/>
    </row>
    <row r="166" spans="1:33" ht="30" customHeight="1">
      <c r="A166" s="175"/>
      <c r="B166" s="176"/>
      <c r="C166" s="176"/>
      <c r="D166" s="176"/>
      <c r="E166" s="175"/>
      <c r="F166" s="177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9"/>
      <c r="W166" s="180"/>
      <c r="X166" s="181"/>
      <c r="Y166" s="179"/>
      <c r="Z166" s="182"/>
      <c r="AA166" s="175"/>
      <c r="AB166" s="170"/>
      <c r="AC166" s="170"/>
      <c r="AD166" s="170"/>
      <c r="AE166" s="170"/>
      <c r="AF166" s="170"/>
      <c r="AG166" s="170"/>
    </row>
    <row r="167" spans="1:33" ht="30" customHeight="1">
      <c r="A167" s="175"/>
      <c r="B167" s="176"/>
      <c r="C167" s="176"/>
      <c r="D167" s="176"/>
      <c r="E167" s="175"/>
      <c r="F167" s="177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9"/>
      <c r="W167" s="180"/>
      <c r="X167" s="181"/>
      <c r="Y167" s="179"/>
      <c r="Z167" s="182"/>
      <c r="AA167" s="175"/>
      <c r="AB167" s="170"/>
      <c r="AC167" s="170"/>
      <c r="AD167" s="170"/>
      <c r="AE167" s="170"/>
      <c r="AF167" s="170"/>
      <c r="AG167" s="170"/>
    </row>
    <row r="168" spans="1:33" ht="30" customHeight="1">
      <c r="A168" s="175"/>
      <c r="B168" s="176"/>
      <c r="C168" s="176"/>
      <c r="D168" s="176"/>
      <c r="E168" s="175"/>
      <c r="F168" s="177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9"/>
      <c r="W168" s="180"/>
      <c r="X168" s="181"/>
      <c r="Y168" s="179"/>
      <c r="Z168" s="182"/>
      <c r="AA168" s="175"/>
      <c r="AB168" s="170"/>
      <c r="AC168" s="170"/>
      <c r="AD168" s="170"/>
      <c r="AE168" s="170"/>
      <c r="AF168" s="170"/>
      <c r="AG168" s="170"/>
    </row>
    <row r="169" spans="1:33" ht="30" customHeight="1">
      <c r="A169" s="175"/>
      <c r="B169" s="176"/>
      <c r="C169" s="176"/>
      <c r="D169" s="176"/>
      <c r="E169" s="175"/>
      <c r="F169" s="177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9"/>
      <c r="W169" s="180"/>
      <c r="X169" s="181"/>
      <c r="Y169" s="179"/>
      <c r="Z169" s="182"/>
      <c r="AA169" s="175"/>
      <c r="AB169" s="170"/>
      <c r="AC169" s="170"/>
      <c r="AD169" s="170"/>
      <c r="AE169" s="170"/>
      <c r="AF169" s="170"/>
      <c r="AG169" s="170"/>
    </row>
    <row r="170" spans="1:33" ht="30" customHeight="1">
      <c r="A170" s="175"/>
      <c r="B170" s="176"/>
      <c r="C170" s="176"/>
      <c r="D170" s="176"/>
      <c r="E170" s="175"/>
      <c r="F170" s="177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9"/>
      <c r="W170" s="180"/>
      <c r="X170" s="181"/>
      <c r="Y170" s="179"/>
      <c r="Z170" s="182"/>
      <c r="AA170" s="175"/>
      <c r="AB170" s="170"/>
      <c r="AC170" s="170"/>
      <c r="AD170" s="170"/>
      <c r="AE170" s="170"/>
      <c r="AF170" s="170"/>
      <c r="AG170" s="170"/>
    </row>
    <row r="171" spans="1:33" ht="30" customHeight="1">
      <c r="A171" s="175"/>
      <c r="B171" s="176"/>
      <c r="C171" s="176"/>
      <c r="D171" s="176"/>
      <c r="E171" s="175"/>
      <c r="F171" s="177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9"/>
      <c r="W171" s="180"/>
      <c r="X171" s="181"/>
      <c r="Y171" s="179"/>
      <c r="Z171" s="182"/>
      <c r="AA171" s="175"/>
      <c r="AB171" s="170"/>
      <c r="AC171" s="170"/>
      <c r="AD171" s="170"/>
      <c r="AE171" s="170"/>
      <c r="AF171" s="170"/>
      <c r="AG171" s="170"/>
    </row>
    <row r="172" spans="1:33" ht="30" customHeight="1">
      <c r="A172" s="175"/>
      <c r="B172" s="176"/>
      <c r="C172" s="176"/>
      <c r="D172" s="176"/>
      <c r="E172" s="175"/>
      <c r="F172" s="177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9"/>
      <c r="W172" s="180"/>
      <c r="X172" s="181"/>
      <c r="Y172" s="179"/>
      <c r="Z172" s="182"/>
      <c r="AA172" s="175"/>
      <c r="AB172" s="170"/>
      <c r="AC172" s="170"/>
      <c r="AD172" s="170"/>
      <c r="AE172" s="170"/>
      <c r="AF172" s="170"/>
      <c r="AG172" s="170"/>
    </row>
    <row r="173" spans="1:33" ht="30" customHeight="1">
      <c r="A173" s="175"/>
      <c r="B173" s="176"/>
      <c r="C173" s="176"/>
      <c r="D173" s="176"/>
      <c r="E173" s="175"/>
      <c r="F173" s="177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9"/>
      <c r="W173" s="180"/>
      <c r="X173" s="181"/>
      <c r="Y173" s="179"/>
      <c r="Z173" s="182"/>
      <c r="AA173" s="175"/>
      <c r="AB173" s="170"/>
      <c r="AC173" s="170"/>
      <c r="AD173" s="170"/>
      <c r="AE173" s="170"/>
      <c r="AF173" s="170"/>
      <c r="AG173" s="170"/>
    </row>
    <row r="174" spans="1:33" ht="30" customHeight="1">
      <c r="A174" s="175"/>
      <c r="B174" s="176"/>
      <c r="C174" s="176"/>
      <c r="D174" s="176"/>
      <c r="E174" s="175"/>
      <c r="F174" s="177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9"/>
      <c r="W174" s="180"/>
      <c r="X174" s="181"/>
      <c r="Y174" s="179"/>
      <c r="Z174" s="182"/>
      <c r="AA174" s="175"/>
      <c r="AB174" s="170"/>
      <c r="AC174" s="170"/>
      <c r="AD174" s="170"/>
      <c r="AE174" s="170"/>
      <c r="AF174" s="170"/>
      <c r="AG174" s="170"/>
    </row>
    <row r="175" spans="1:33" ht="30" customHeight="1">
      <c r="A175" s="175"/>
      <c r="B175" s="176"/>
      <c r="C175" s="176"/>
      <c r="D175" s="176"/>
      <c r="E175" s="175"/>
      <c r="F175" s="177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9"/>
      <c r="W175" s="180"/>
      <c r="X175" s="181"/>
      <c r="Y175" s="179"/>
      <c r="Z175" s="182"/>
      <c r="AA175" s="175"/>
      <c r="AB175" s="170"/>
      <c r="AC175" s="170"/>
      <c r="AD175" s="170"/>
      <c r="AE175" s="170"/>
      <c r="AF175" s="170"/>
      <c r="AG175" s="170"/>
    </row>
    <row r="176" spans="1:33" ht="30" customHeight="1">
      <c r="A176" s="175"/>
      <c r="B176" s="176"/>
      <c r="C176" s="176"/>
      <c r="D176" s="176"/>
      <c r="E176" s="175"/>
      <c r="F176" s="177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9"/>
      <c r="W176" s="180"/>
      <c r="X176" s="181"/>
      <c r="Y176" s="179"/>
      <c r="Z176" s="182"/>
      <c r="AA176" s="175"/>
      <c r="AB176" s="170"/>
      <c r="AC176" s="170"/>
      <c r="AD176" s="170"/>
      <c r="AE176" s="170"/>
      <c r="AF176" s="170"/>
      <c r="AG176" s="170"/>
    </row>
    <row r="177" spans="1:33" ht="30" customHeight="1">
      <c r="A177" s="175"/>
      <c r="B177" s="176"/>
      <c r="C177" s="176"/>
      <c r="D177" s="176"/>
      <c r="E177" s="175"/>
      <c r="F177" s="177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9"/>
      <c r="W177" s="180"/>
      <c r="X177" s="181"/>
      <c r="Y177" s="179"/>
      <c r="Z177" s="182"/>
      <c r="AA177" s="175"/>
      <c r="AB177" s="170"/>
      <c r="AC177" s="170"/>
      <c r="AD177" s="170"/>
      <c r="AE177" s="170"/>
      <c r="AF177" s="170"/>
      <c r="AG177" s="170"/>
    </row>
    <row r="178" spans="1:33" ht="30" customHeight="1">
      <c r="A178" s="175"/>
      <c r="B178" s="176"/>
      <c r="C178" s="176"/>
      <c r="D178" s="176"/>
      <c r="E178" s="175"/>
      <c r="F178" s="177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9"/>
      <c r="W178" s="180"/>
      <c r="X178" s="181"/>
      <c r="Y178" s="179"/>
      <c r="Z178" s="182"/>
      <c r="AA178" s="175"/>
      <c r="AB178" s="170"/>
      <c r="AC178" s="170"/>
      <c r="AD178" s="170"/>
      <c r="AE178" s="170"/>
      <c r="AF178" s="170"/>
      <c r="AG178" s="170"/>
    </row>
    <row r="179" spans="1:33" ht="30" customHeight="1">
      <c r="A179" s="175"/>
      <c r="B179" s="176"/>
      <c r="C179" s="176"/>
      <c r="D179" s="176"/>
      <c r="E179" s="175"/>
      <c r="F179" s="177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9"/>
      <c r="W179" s="180"/>
      <c r="X179" s="181"/>
      <c r="Y179" s="179"/>
      <c r="Z179" s="182"/>
      <c r="AA179" s="175"/>
      <c r="AB179" s="170"/>
      <c r="AC179" s="170"/>
      <c r="AD179" s="170"/>
      <c r="AE179" s="170"/>
      <c r="AF179" s="170"/>
      <c r="AG179" s="170"/>
    </row>
    <row r="180" spans="1:33" ht="30" customHeight="1">
      <c r="A180" s="175"/>
      <c r="B180" s="176"/>
      <c r="C180" s="176"/>
      <c r="D180" s="176"/>
      <c r="E180" s="175"/>
      <c r="F180" s="177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9"/>
      <c r="W180" s="180"/>
      <c r="X180" s="181"/>
      <c r="Y180" s="179"/>
      <c r="Z180" s="182"/>
      <c r="AA180" s="175"/>
      <c r="AB180" s="170"/>
      <c r="AC180" s="170"/>
      <c r="AD180" s="170"/>
      <c r="AE180" s="170"/>
      <c r="AF180" s="170"/>
      <c r="AG180" s="170"/>
    </row>
    <row r="181" spans="1:33" ht="30" customHeight="1">
      <c r="A181" s="175"/>
      <c r="B181" s="176"/>
      <c r="C181" s="176"/>
      <c r="D181" s="176"/>
      <c r="E181" s="175"/>
      <c r="F181" s="177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9"/>
      <c r="W181" s="180"/>
      <c r="X181" s="181"/>
      <c r="Y181" s="179"/>
      <c r="Z181" s="182"/>
      <c r="AA181" s="175"/>
      <c r="AB181" s="170"/>
      <c r="AC181" s="170"/>
      <c r="AD181" s="170"/>
      <c r="AE181" s="170"/>
      <c r="AF181" s="170"/>
      <c r="AG181" s="170"/>
    </row>
    <row r="182" spans="1:33" ht="30" customHeight="1">
      <c r="A182" s="175"/>
      <c r="B182" s="176"/>
      <c r="C182" s="176"/>
      <c r="D182" s="176"/>
      <c r="E182" s="175"/>
      <c r="F182" s="177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9"/>
      <c r="W182" s="180"/>
      <c r="X182" s="181"/>
      <c r="Y182" s="179"/>
      <c r="Z182" s="182"/>
      <c r="AA182" s="175"/>
      <c r="AB182" s="170"/>
      <c r="AC182" s="170"/>
      <c r="AD182" s="170"/>
      <c r="AE182" s="170"/>
      <c r="AF182" s="170"/>
      <c r="AG182" s="170"/>
    </row>
    <row r="183" spans="1:33" ht="30" customHeight="1">
      <c r="A183" s="175"/>
      <c r="B183" s="176"/>
      <c r="C183" s="176"/>
      <c r="D183" s="176"/>
      <c r="E183" s="175"/>
      <c r="F183" s="177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9"/>
      <c r="W183" s="180"/>
      <c r="X183" s="181"/>
      <c r="Y183" s="179"/>
      <c r="Z183" s="182"/>
      <c r="AA183" s="175"/>
      <c r="AB183" s="170"/>
      <c r="AC183" s="170"/>
      <c r="AD183" s="170"/>
      <c r="AE183" s="170"/>
      <c r="AF183" s="170"/>
      <c r="AG183" s="170"/>
    </row>
    <row r="184" spans="1:33" ht="30" customHeight="1">
      <c r="A184" s="175"/>
      <c r="B184" s="176"/>
      <c r="C184" s="176"/>
      <c r="D184" s="176"/>
      <c r="E184" s="175"/>
      <c r="F184" s="177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9"/>
      <c r="W184" s="180"/>
      <c r="X184" s="181"/>
      <c r="Y184" s="179"/>
      <c r="Z184" s="182"/>
      <c r="AA184" s="175"/>
      <c r="AB184" s="170"/>
      <c r="AC184" s="170"/>
      <c r="AD184" s="170"/>
      <c r="AE184" s="170"/>
      <c r="AF184" s="170"/>
      <c r="AG184" s="170"/>
    </row>
    <row r="185" spans="1:33" ht="30" customHeight="1">
      <c r="A185" s="175"/>
      <c r="B185" s="176"/>
      <c r="C185" s="176"/>
      <c r="D185" s="176"/>
      <c r="E185" s="175"/>
      <c r="F185" s="177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9"/>
      <c r="W185" s="180"/>
      <c r="X185" s="181"/>
      <c r="Y185" s="179"/>
      <c r="Z185" s="182"/>
      <c r="AA185" s="175"/>
      <c r="AB185" s="170"/>
      <c r="AC185" s="170"/>
      <c r="AD185" s="170"/>
      <c r="AE185" s="170"/>
      <c r="AF185" s="170"/>
      <c r="AG185" s="170"/>
    </row>
    <row r="186" spans="1:33" ht="30" customHeight="1">
      <c r="A186" s="175"/>
      <c r="B186" s="176"/>
      <c r="C186" s="176"/>
      <c r="D186" s="176"/>
      <c r="E186" s="175"/>
      <c r="F186" s="177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9"/>
      <c r="W186" s="180"/>
      <c r="X186" s="181"/>
      <c r="Y186" s="179"/>
      <c r="Z186" s="182"/>
      <c r="AA186" s="175"/>
      <c r="AB186" s="170"/>
      <c r="AC186" s="170"/>
      <c r="AD186" s="170"/>
      <c r="AE186" s="170"/>
      <c r="AF186" s="170"/>
      <c r="AG186" s="170"/>
    </row>
    <row r="187" spans="1:33" ht="30" customHeight="1">
      <c r="A187" s="175"/>
      <c r="B187" s="176"/>
      <c r="C187" s="176"/>
      <c r="D187" s="176"/>
      <c r="E187" s="175"/>
      <c r="F187" s="177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9"/>
      <c r="W187" s="180"/>
      <c r="X187" s="181"/>
      <c r="Y187" s="179"/>
      <c r="Z187" s="182"/>
      <c r="AA187" s="175"/>
      <c r="AB187" s="170"/>
      <c r="AC187" s="170"/>
      <c r="AD187" s="170"/>
      <c r="AE187" s="170"/>
      <c r="AF187" s="170"/>
      <c r="AG187" s="170"/>
    </row>
    <row r="188" spans="1:33" ht="30" customHeight="1">
      <c r="A188" s="175"/>
      <c r="B188" s="176"/>
      <c r="C188" s="176"/>
      <c r="D188" s="176"/>
      <c r="E188" s="175"/>
      <c r="F188" s="177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9"/>
      <c r="W188" s="180"/>
      <c r="X188" s="181"/>
      <c r="Y188" s="179"/>
      <c r="Z188" s="182"/>
      <c r="AA188" s="175"/>
      <c r="AB188" s="170"/>
      <c r="AC188" s="170"/>
      <c r="AD188" s="170"/>
      <c r="AE188" s="170"/>
      <c r="AF188" s="170"/>
      <c r="AG188" s="170"/>
    </row>
    <row r="189" spans="1:33" ht="30" customHeight="1">
      <c r="A189" s="175"/>
      <c r="B189" s="176"/>
      <c r="C189" s="176"/>
      <c r="D189" s="176"/>
      <c r="E189" s="175"/>
      <c r="F189" s="177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9"/>
      <c r="W189" s="180"/>
      <c r="X189" s="181"/>
      <c r="Y189" s="179"/>
      <c r="Z189" s="182"/>
      <c r="AA189" s="175"/>
      <c r="AB189" s="170"/>
      <c r="AC189" s="170"/>
      <c r="AD189" s="170"/>
      <c r="AE189" s="170"/>
      <c r="AF189" s="170"/>
      <c r="AG189" s="170"/>
    </row>
    <row r="190" spans="1:33" ht="30" customHeight="1">
      <c r="A190" s="175"/>
      <c r="B190" s="176"/>
      <c r="C190" s="176"/>
      <c r="D190" s="176"/>
      <c r="E190" s="175"/>
      <c r="F190" s="177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9"/>
      <c r="W190" s="180"/>
      <c r="X190" s="181"/>
      <c r="Y190" s="179"/>
      <c r="Z190" s="182"/>
      <c r="AA190" s="175"/>
      <c r="AB190" s="170"/>
      <c r="AC190" s="170"/>
      <c r="AD190" s="170"/>
      <c r="AE190" s="170"/>
      <c r="AF190" s="170"/>
      <c r="AG190" s="170"/>
    </row>
    <row r="191" spans="1:33" ht="30" customHeight="1">
      <c r="A191" s="175"/>
      <c r="B191" s="176"/>
      <c r="C191" s="176"/>
      <c r="D191" s="176"/>
      <c r="E191" s="175"/>
      <c r="F191" s="177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9"/>
      <c r="W191" s="180"/>
      <c r="X191" s="181"/>
      <c r="Y191" s="179"/>
      <c r="Z191" s="182"/>
      <c r="AA191" s="175"/>
      <c r="AB191" s="170"/>
      <c r="AC191" s="170"/>
      <c r="AD191" s="170"/>
      <c r="AE191" s="170"/>
      <c r="AF191" s="170"/>
      <c r="AG191" s="170"/>
    </row>
    <row r="192" spans="1:33" ht="30" customHeight="1">
      <c r="A192" s="175"/>
      <c r="B192" s="176"/>
      <c r="C192" s="176"/>
      <c r="D192" s="176"/>
      <c r="E192" s="175"/>
      <c r="F192" s="177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9"/>
      <c r="W192" s="180"/>
      <c r="X192" s="181"/>
      <c r="Y192" s="179"/>
      <c r="Z192" s="182"/>
      <c r="AA192" s="175"/>
      <c r="AB192" s="170"/>
      <c r="AC192" s="170"/>
      <c r="AD192" s="170"/>
      <c r="AE192" s="170"/>
      <c r="AF192" s="170"/>
      <c r="AG192" s="170"/>
    </row>
    <row r="193" spans="1:33" ht="30" customHeight="1">
      <c r="A193" s="175"/>
      <c r="B193" s="176"/>
      <c r="C193" s="176"/>
      <c r="D193" s="176"/>
      <c r="E193" s="175"/>
      <c r="F193" s="177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9"/>
      <c r="W193" s="180"/>
      <c r="X193" s="181"/>
      <c r="Y193" s="179"/>
      <c r="Z193" s="182"/>
      <c r="AA193" s="175"/>
      <c r="AB193" s="170"/>
      <c r="AC193" s="170"/>
      <c r="AD193" s="170"/>
      <c r="AE193" s="170"/>
      <c r="AF193" s="170"/>
      <c r="AG193" s="170"/>
    </row>
    <row r="194" spans="1:33" ht="30" customHeight="1">
      <c r="A194" s="175"/>
      <c r="B194" s="176"/>
      <c r="C194" s="176"/>
      <c r="D194" s="176"/>
      <c r="E194" s="175"/>
      <c r="F194" s="177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9"/>
      <c r="W194" s="180"/>
      <c r="X194" s="181"/>
      <c r="Y194" s="179"/>
      <c r="Z194" s="182"/>
      <c r="AA194" s="175"/>
      <c r="AB194" s="170"/>
      <c r="AC194" s="170"/>
      <c r="AD194" s="170"/>
      <c r="AE194" s="170"/>
      <c r="AF194" s="170"/>
      <c r="AG194" s="170"/>
    </row>
    <row r="195" spans="1:33" ht="30" customHeight="1">
      <c r="A195" s="175"/>
      <c r="B195" s="176"/>
      <c r="C195" s="176"/>
      <c r="D195" s="176"/>
      <c r="E195" s="175"/>
      <c r="F195" s="177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9"/>
      <c r="W195" s="180"/>
      <c r="X195" s="181"/>
      <c r="Y195" s="179"/>
      <c r="Z195" s="182"/>
      <c r="AA195" s="175"/>
      <c r="AB195" s="170"/>
      <c r="AC195" s="170"/>
      <c r="AD195" s="170"/>
      <c r="AE195" s="170"/>
      <c r="AF195" s="170"/>
      <c r="AG195" s="170"/>
    </row>
    <row r="196" spans="1:33" ht="30" customHeight="1">
      <c r="A196" s="175"/>
      <c r="B196" s="176"/>
      <c r="C196" s="176"/>
      <c r="D196" s="176"/>
      <c r="E196" s="175"/>
      <c r="F196" s="177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9"/>
      <c r="W196" s="180"/>
      <c r="X196" s="181"/>
      <c r="Y196" s="179"/>
      <c r="Z196" s="182"/>
      <c r="AA196" s="175"/>
      <c r="AB196" s="170"/>
      <c r="AC196" s="170"/>
      <c r="AD196" s="170"/>
      <c r="AE196" s="170"/>
      <c r="AF196" s="170"/>
      <c r="AG196" s="170"/>
    </row>
    <row r="197" spans="1:33" ht="30" customHeight="1">
      <c r="A197" s="175"/>
      <c r="B197" s="176"/>
      <c r="C197" s="176"/>
      <c r="D197" s="176"/>
      <c r="E197" s="175"/>
      <c r="F197" s="177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9"/>
      <c r="W197" s="180"/>
      <c r="X197" s="181"/>
      <c r="Y197" s="179"/>
      <c r="Z197" s="182"/>
      <c r="AA197" s="175"/>
      <c r="AB197" s="170"/>
      <c r="AC197" s="170"/>
      <c r="AD197" s="170"/>
      <c r="AE197" s="170"/>
      <c r="AF197" s="170"/>
      <c r="AG197" s="170"/>
    </row>
    <row r="198" spans="1:33" ht="30" customHeight="1">
      <c r="A198" s="175"/>
      <c r="B198" s="176"/>
      <c r="C198" s="176"/>
      <c r="D198" s="176"/>
      <c r="E198" s="175"/>
      <c r="F198" s="177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9"/>
      <c r="W198" s="180"/>
      <c r="X198" s="181"/>
      <c r="Y198" s="179"/>
      <c r="Z198" s="182"/>
      <c r="AA198" s="175"/>
      <c r="AB198" s="170"/>
      <c r="AC198" s="170"/>
      <c r="AD198" s="170"/>
      <c r="AE198" s="170"/>
      <c r="AF198" s="170"/>
      <c r="AG198" s="170"/>
    </row>
    <row r="199" spans="1:33" ht="30" customHeight="1">
      <c r="A199" s="175"/>
      <c r="B199" s="176"/>
      <c r="C199" s="176"/>
      <c r="D199" s="176"/>
      <c r="E199" s="175"/>
      <c r="F199" s="177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9"/>
      <c r="W199" s="180"/>
      <c r="X199" s="181"/>
      <c r="Y199" s="179"/>
      <c r="Z199" s="182"/>
      <c r="AA199" s="175"/>
      <c r="AB199" s="170"/>
      <c r="AC199" s="170"/>
      <c r="AD199" s="170"/>
      <c r="AE199" s="170"/>
      <c r="AF199" s="170"/>
      <c r="AG199" s="170"/>
    </row>
    <row r="200" spans="1:33" ht="30" customHeight="1">
      <c r="A200" s="175"/>
      <c r="B200" s="176"/>
      <c r="C200" s="176"/>
      <c r="D200" s="176"/>
      <c r="E200" s="175"/>
      <c r="F200" s="177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9"/>
      <c r="W200" s="180"/>
      <c r="X200" s="181"/>
      <c r="Y200" s="179"/>
      <c r="Z200" s="182"/>
      <c r="AA200" s="175"/>
      <c r="AB200" s="170"/>
      <c r="AC200" s="170"/>
      <c r="AD200" s="170"/>
      <c r="AE200" s="170"/>
      <c r="AF200" s="170"/>
      <c r="AG200" s="170"/>
    </row>
    <row r="201" spans="1:33" ht="30" customHeight="1">
      <c r="A201" s="175"/>
      <c r="B201" s="176"/>
      <c r="C201" s="176"/>
      <c r="D201" s="176"/>
      <c r="E201" s="175"/>
      <c r="F201" s="177"/>
      <c r="G201" s="178"/>
      <c r="H201" s="178"/>
      <c r="I201" s="178"/>
      <c r="J201" s="178"/>
      <c r="K201" s="178"/>
      <c r="L201" s="178"/>
      <c r="M201" s="178"/>
      <c r="N201" s="178"/>
      <c r="O201" s="178"/>
      <c r="P201" s="178"/>
      <c r="Q201" s="178"/>
      <c r="R201" s="178"/>
      <c r="S201" s="178"/>
      <c r="T201" s="178"/>
      <c r="U201" s="178"/>
      <c r="V201" s="179"/>
      <c r="W201" s="180"/>
      <c r="X201" s="181"/>
      <c r="Y201" s="179"/>
      <c r="Z201" s="182"/>
      <c r="AA201" s="175"/>
      <c r="AB201" s="170"/>
      <c r="AC201" s="170"/>
      <c r="AD201" s="170"/>
      <c r="AE201" s="170"/>
      <c r="AF201" s="170"/>
      <c r="AG201" s="170"/>
    </row>
    <row r="202" spans="1:33" ht="30" customHeight="1">
      <c r="A202" s="175"/>
      <c r="B202" s="176"/>
      <c r="C202" s="176"/>
      <c r="D202" s="176"/>
      <c r="E202" s="175"/>
      <c r="F202" s="177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78"/>
      <c r="T202" s="178"/>
      <c r="U202" s="178"/>
      <c r="V202" s="179"/>
      <c r="W202" s="180"/>
      <c r="X202" s="181"/>
      <c r="Y202" s="179"/>
      <c r="Z202" s="182"/>
      <c r="AA202" s="175"/>
      <c r="AB202" s="170"/>
      <c r="AC202" s="170"/>
      <c r="AD202" s="170"/>
      <c r="AE202" s="170"/>
      <c r="AF202" s="170"/>
      <c r="AG202" s="170"/>
    </row>
    <row r="203" spans="1:33" ht="30" customHeight="1">
      <c r="A203" s="175"/>
      <c r="B203" s="176"/>
      <c r="C203" s="176"/>
      <c r="D203" s="176"/>
      <c r="E203" s="175"/>
      <c r="F203" s="177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78"/>
      <c r="T203" s="178"/>
      <c r="U203" s="178"/>
      <c r="V203" s="179"/>
      <c r="W203" s="180"/>
      <c r="X203" s="181"/>
      <c r="Y203" s="179"/>
      <c r="Z203" s="182"/>
      <c r="AA203" s="175"/>
      <c r="AB203" s="170"/>
      <c r="AC203" s="170"/>
      <c r="AD203" s="170"/>
      <c r="AE203" s="170"/>
      <c r="AF203" s="170"/>
      <c r="AG203" s="170"/>
    </row>
    <row r="204" spans="1:33" ht="30" customHeight="1">
      <c r="A204" s="175"/>
      <c r="B204" s="176"/>
      <c r="C204" s="176"/>
      <c r="D204" s="176"/>
      <c r="E204" s="175"/>
      <c r="F204" s="177"/>
      <c r="G204" s="178"/>
      <c r="H204" s="178"/>
      <c r="I204" s="178"/>
      <c r="J204" s="178"/>
      <c r="K204" s="178"/>
      <c r="L204" s="178"/>
      <c r="M204" s="178"/>
      <c r="N204" s="178"/>
      <c r="O204" s="178"/>
      <c r="P204" s="178"/>
      <c r="Q204" s="178"/>
      <c r="R204" s="178"/>
      <c r="S204" s="178"/>
      <c r="T204" s="178"/>
      <c r="U204" s="178"/>
      <c r="V204" s="179"/>
      <c r="W204" s="180"/>
      <c r="X204" s="181"/>
      <c r="Y204" s="179"/>
      <c r="Z204" s="182"/>
      <c r="AA204" s="175"/>
      <c r="AB204" s="170"/>
      <c r="AC204" s="170"/>
      <c r="AD204" s="170"/>
      <c r="AE204" s="170"/>
      <c r="AF204" s="170"/>
      <c r="AG204" s="170"/>
    </row>
    <row r="205" spans="1:33" ht="30" customHeight="1">
      <c r="A205" s="175"/>
      <c r="B205" s="176"/>
      <c r="C205" s="176"/>
      <c r="D205" s="176"/>
      <c r="E205" s="175"/>
      <c r="F205" s="177"/>
      <c r="G205" s="178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9"/>
      <c r="W205" s="180"/>
      <c r="X205" s="181"/>
      <c r="Y205" s="179"/>
      <c r="Z205" s="182"/>
      <c r="AA205" s="175"/>
      <c r="AB205" s="170"/>
      <c r="AC205" s="170"/>
      <c r="AD205" s="170"/>
      <c r="AE205" s="170"/>
      <c r="AF205" s="170"/>
      <c r="AG205" s="170"/>
    </row>
    <row r="206" spans="1:33" ht="30" customHeight="1">
      <c r="A206" s="175"/>
      <c r="B206" s="176"/>
      <c r="C206" s="176"/>
      <c r="D206" s="176"/>
      <c r="E206" s="175"/>
      <c r="F206" s="177"/>
      <c r="G206" s="178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9"/>
      <c r="W206" s="180"/>
      <c r="X206" s="181"/>
      <c r="Y206" s="179"/>
      <c r="Z206" s="182"/>
      <c r="AA206" s="175"/>
      <c r="AB206" s="170"/>
      <c r="AC206" s="170"/>
      <c r="AD206" s="170"/>
      <c r="AE206" s="170"/>
      <c r="AF206" s="170"/>
      <c r="AG206" s="170"/>
    </row>
    <row r="207" spans="1:33" ht="30" customHeight="1">
      <c r="A207" s="175"/>
      <c r="B207" s="176"/>
      <c r="C207" s="176"/>
      <c r="D207" s="176"/>
      <c r="E207" s="175"/>
      <c r="F207" s="177"/>
      <c r="G207" s="178"/>
      <c r="H207" s="178"/>
      <c r="I207" s="178"/>
      <c r="J207" s="178"/>
      <c r="K207" s="178"/>
      <c r="L207" s="178"/>
      <c r="M207" s="178"/>
      <c r="N207" s="178"/>
      <c r="O207" s="178"/>
      <c r="P207" s="178"/>
      <c r="Q207" s="178"/>
      <c r="R207" s="178"/>
      <c r="S207" s="178"/>
      <c r="T207" s="178"/>
      <c r="U207" s="178"/>
      <c r="V207" s="179"/>
      <c r="W207" s="180"/>
      <c r="X207" s="181"/>
      <c r="Y207" s="179"/>
      <c r="Z207" s="182"/>
      <c r="AA207" s="175"/>
      <c r="AB207" s="170"/>
      <c r="AC207" s="170"/>
      <c r="AD207" s="170"/>
      <c r="AE207" s="170"/>
      <c r="AF207" s="170"/>
      <c r="AG207" s="170"/>
    </row>
    <row r="208" spans="1:33" ht="30" customHeight="1">
      <c r="A208" s="175"/>
      <c r="B208" s="176"/>
      <c r="C208" s="176"/>
      <c r="D208" s="176"/>
      <c r="E208" s="175"/>
      <c r="F208" s="177"/>
      <c r="G208" s="178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179"/>
      <c r="W208" s="180"/>
      <c r="X208" s="181"/>
      <c r="Y208" s="179"/>
      <c r="Z208" s="182"/>
      <c r="AA208" s="175"/>
      <c r="AB208" s="170"/>
      <c r="AC208" s="170"/>
      <c r="AD208" s="170"/>
      <c r="AE208" s="170"/>
      <c r="AF208" s="170"/>
      <c r="AG208" s="170"/>
    </row>
    <row r="209" spans="1:33" ht="30" customHeight="1">
      <c r="A209" s="175"/>
      <c r="B209" s="176"/>
      <c r="C209" s="176"/>
      <c r="D209" s="176"/>
      <c r="E209" s="175"/>
      <c r="F209" s="177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78"/>
      <c r="T209" s="178"/>
      <c r="U209" s="178"/>
      <c r="V209" s="179"/>
      <c r="W209" s="180"/>
      <c r="X209" s="181"/>
      <c r="Y209" s="179"/>
      <c r="Z209" s="182"/>
      <c r="AA209" s="175"/>
      <c r="AB209" s="170"/>
      <c r="AC209" s="170"/>
      <c r="AD209" s="170"/>
      <c r="AE209" s="170"/>
      <c r="AF209" s="170"/>
      <c r="AG209" s="170"/>
    </row>
    <row r="210" spans="1:33" ht="30" customHeight="1">
      <c r="A210" s="175"/>
      <c r="B210" s="176"/>
      <c r="C210" s="176"/>
      <c r="D210" s="176"/>
      <c r="E210" s="175"/>
      <c r="F210" s="177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78"/>
      <c r="T210" s="178"/>
      <c r="U210" s="178"/>
      <c r="V210" s="179"/>
      <c r="W210" s="180"/>
      <c r="X210" s="181"/>
      <c r="Y210" s="179"/>
      <c r="Z210" s="182"/>
      <c r="AA210" s="175"/>
      <c r="AB210" s="170"/>
      <c r="AC210" s="170"/>
      <c r="AD210" s="170"/>
      <c r="AE210" s="170"/>
      <c r="AF210" s="170"/>
      <c r="AG210" s="170"/>
    </row>
    <row r="211" spans="1:33" ht="30" customHeight="1">
      <c r="A211" s="175"/>
      <c r="B211" s="176"/>
      <c r="C211" s="176"/>
      <c r="D211" s="176"/>
      <c r="E211" s="175"/>
      <c r="F211" s="177"/>
      <c r="G211" s="178"/>
      <c r="H211" s="178"/>
      <c r="I211" s="178"/>
      <c r="J211" s="178"/>
      <c r="K211" s="178"/>
      <c r="L211" s="178"/>
      <c r="M211" s="178"/>
      <c r="N211" s="178"/>
      <c r="O211" s="178"/>
      <c r="P211" s="178"/>
      <c r="Q211" s="178"/>
      <c r="R211" s="178"/>
      <c r="S211" s="178"/>
      <c r="T211" s="178"/>
      <c r="U211" s="178"/>
      <c r="V211" s="179"/>
      <c r="W211" s="180"/>
      <c r="X211" s="181"/>
      <c r="Y211" s="179"/>
      <c r="Z211" s="182"/>
      <c r="AA211" s="175"/>
      <c r="AB211" s="170"/>
      <c r="AC211" s="170"/>
      <c r="AD211" s="170"/>
      <c r="AE211" s="170"/>
      <c r="AF211" s="170"/>
      <c r="AG211" s="170"/>
    </row>
    <row r="212" spans="1:33" ht="30" customHeight="1">
      <c r="A212" s="175"/>
      <c r="B212" s="176"/>
      <c r="C212" s="176"/>
      <c r="D212" s="176"/>
      <c r="E212" s="175"/>
      <c r="F212" s="177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  <c r="V212" s="179"/>
      <c r="W212" s="180"/>
      <c r="X212" s="181"/>
      <c r="Y212" s="179"/>
      <c r="Z212" s="182"/>
      <c r="AA212" s="175"/>
      <c r="AB212" s="170"/>
      <c r="AC212" s="170"/>
      <c r="AD212" s="170"/>
      <c r="AE212" s="170"/>
      <c r="AF212" s="170"/>
      <c r="AG212" s="170"/>
    </row>
    <row r="213" spans="1:33" ht="30" customHeight="1">
      <c r="A213" s="175"/>
      <c r="B213" s="176"/>
      <c r="C213" s="176"/>
      <c r="D213" s="176"/>
      <c r="E213" s="175"/>
      <c r="F213" s="177"/>
      <c r="G213" s="178"/>
      <c r="H213" s="178"/>
      <c r="I213" s="178"/>
      <c r="J213" s="178"/>
      <c r="K213" s="178"/>
      <c r="L213" s="178"/>
      <c r="M213" s="178"/>
      <c r="N213" s="178"/>
      <c r="O213" s="178"/>
      <c r="P213" s="178"/>
      <c r="Q213" s="178"/>
      <c r="R213" s="178"/>
      <c r="S213" s="178"/>
      <c r="T213" s="178"/>
      <c r="U213" s="178"/>
      <c r="V213" s="179"/>
      <c r="W213" s="180"/>
      <c r="X213" s="181"/>
      <c r="Y213" s="179"/>
      <c r="Z213" s="182"/>
      <c r="AA213" s="175"/>
      <c r="AB213" s="170"/>
      <c r="AC213" s="170"/>
      <c r="AD213" s="170"/>
      <c r="AE213" s="170"/>
      <c r="AF213" s="170"/>
      <c r="AG213" s="170"/>
    </row>
    <row r="214" spans="1:33" ht="30" customHeight="1">
      <c r="A214" s="175"/>
      <c r="B214" s="176"/>
      <c r="C214" s="176"/>
      <c r="D214" s="176"/>
      <c r="E214" s="175"/>
      <c r="F214" s="177"/>
      <c r="G214" s="178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  <c r="T214" s="178"/>
      <c r="U214" s="178"/>
      <c r="V214" s="179"/>
      <c r="W214" s="180"/>
      <c r="X214" s="181"/>
      <c r="Y214" s="179"/>
      <c r="Z214" s="182"/>
      <c r="AA214" s="175"/>
      <c r="AB214" s="170"/>
      <c r="AC214" s="170"/>
      <c r="AD214" s="170"/>
      <c r="AE214" s="170"/>
      <c r="AF214" s="170"/>
      <c r="AG214" s="170"/>
    </row>
    <row r="215" spans="1:33" ht="30" customHeight="1">
      <c r="A215" s="175"/>
      <c r="B215" s="176"/>
      <c r="C215" s="176"/>
      <c r="D215" s="176"/>
      <c r="E215" s="175"/>
      <c r="F215" s="177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9"/>
      <c r="W215" s="180"/>
      <c r="X215" s="181"/>
      <c r="Y215" s="179"/>
      <c r="Z215" s="182"/>
      <c r="AA215" s="175"/>
      <c r="AB215" s="170"/>
      <c r="AC215" s="170"/>
      <c r="AD215" s="170"/>
      <c r="AE215" s="170"/>
      <c r="AF215" s="170"/>
      <c r="AG215" s="170"/>
    </row>
    <row r="216" spans="1:33" ht="30" customHeight="1">
      <c r="A216" s="175"/>
      <c r="B216" s="176"/>
      <c r="C216" s="176"/>
      <c r="D216" s="176"/>
      <c r="E216" s="175"/>
      <c r="F216" s="177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9"/>
      <c r="W216" s="180"/>
      <c r="X216" s="181"/>
      <c r="Y216" s="179"/>
      <c r="Z216" s="182"/>
      <c r="AA216" s="175"/>
      <c r="AB216" s="170"/>
      <c r="AC216" s="170"/>
      <c r="AD216" s="170"/>
      <c r="AE216" s="170"/>
      <c r="AF216" s="170"/>
      <c r="AG216" s="170"/>
    </row>
    <row r="217" spans="1:33" ht="30" customHeight="1">
      <c r="A217" s="175"/>
      <c r="B217" s="176"/>
      <c r="C217" s="176"/>
      <c r="D217" s="176"/>
      <c r="E217" s="175"/>
      <c r="F217" s="177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9"/>
      <c r="W217" s="180"/>
      <c r="X217" s="181"/>
      <c r="Y217" s="179"/>
      <c r="Z217" s="182"/>
      <c r="AA217" s="175"/>
      <c r="AB217" s="170"/>
      <c r="AC217" s="170"/>
      <c r="AD217" s="170"/>
      <c r="AE217" s="170"/>
      <c r="AF217" s="170"/>
      <c r="AG217" s="170"/>
    </row>
    <row r="218" spans="1:33" ht="30" customHeight="1">
      <c r="A218" s="175"/>
      <c r="B218" s="176"/>
      <c r="C218" s="176"/>
      <c r="D218" s="176"/>
      <c r="E218" s="175"/>
      <c r="F218" s="177"/>
      <c r="G218" s="178"/>
      <c r="H218" s="178"/>
      <c r="I218" s="178"/>
      <c r="J218" s="178"/>
      <c r="K218" s="178"/>
      <c r="L218" s="178"/>
      <c r="M218" s="178"/>
      <c r="N218" s="178"/>
      <c r="O218" s="178"/>
      <c r="P218" s="178"/>
      <c r="Q218" s="178"/>
      <c r="R218" s="178"/>
      <c r="S218" s="178"/>
      <c r="T218" s="178"/>
      <c r="U218" s="178"/>
      <c r="V218" s="179"/>
      <c r="W218" s="180"/>
      <c r="X218" s="181"/>
      <c r="Y218" s="179"/>
      <c r="Z218" s="182"/>
      <c r="AA218" s="175"/>
      <c r="AB218" s="170"/>
      <c r="AC218" s="170"/>
      <c r="AD218" s="170"/>
      <c r="AE218" s="170"/>
      <c r="AF218" s="170"/>
      <c r="AG218" s="170"/>
    </row>
    <row r="219" spans="1:33" ht="30" customHeight="1">
      <c r="A219" s="175"/>
      <c r="B219" s="176"/>
      <c r="C219" s="176"/>
      <c r="D219" s="176"/>
      <c r="E219" s="175"/>
      <c r="F219" s="177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  <c r="T219" s="178"/>
      <c r="U219" s="178"/>
      <c r="V219" s="179"/>
      <c r="W219" s="180"/>
      <c r="X219" s="181"/>
      <c r="Y219" s="179"/>
      <c r="Z219" s="182"/>
      <c r="AA219" s="175"/>
      <c r="AB219" s="170"/>
      <c r="AC219" s="170"/>
      <c r="AD219" s="170"/>
      <c r="AE219" s="170"/>
      <c r="AF219" s="170"/>
      <c r="AG219" s="170"/>
    </row>
    <row r="220" spans="1:33" ht="30" customHeight="1">
      <c r="A220" s="175"/>
      <c r="B220" s="176"/>
      <c r="C220" s="176"/>
      <c r="D220" s="176"/>
      <c r="E220" s="175"/>
      <c r="F220" s="177"/>
      <c r="G220" s="178"/>
      <c r="H220" s="178"/>
      <c r="I220" s="178"/>
      <c r="J220" s="178"/>
      <c r="K220" s="178"/>
      <c r="L220" s="178"/>
      <c r="M220" s="178"/>
      <c r="N220" s="178"/>
      <c r="O220" s="178"/>
      <c r="P220" s="178"/>
      <c r="Q220" s="178"/>
      <c r="R220" s="178"/>
      <c r="S220" s="178"/>
      <c r="T220" s="178"/>
      <c r="U220" s="178"/>
      <c r="V220" s="179"/>
      <c r="W220" s="180"/>
      <c r="X220" s="181"/>
      <c r="Y220" s="179"/>
      <c r="Z220" s="182"/>
      <c r="AA220" s="175"/>
      <c r="AB220" s="170"/>
      <c r="AC220" s="170"/>
      <c r="AD220" s="170"/>
      <c r="AE220" s="170"/>
      <c r="AF220" s="170"/>
      <c r="AG220" s="170"/>
    </row>
    <row r="221" spans="1:33" ht="30" customHeight="1">
      <c r="A221" s="175"/>
      <c r="B221" s="176"/>
      <c r="C221" s="176"/>
      <c r="D221" s="176"/>
      <c r="E221" s="175"/>
      <c r="F221" s="177"/>
      <c r="G221" s="178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  <c r="T221" s="178"/>
      <c r="U221" s="178"/>
      <c r="V221" s="179"/>
      <c r="W221" s="180"/>
      <c r="X221" s="181"/>
      <c r="Y221" s="179"/>
      <c r="Z221" s="182"/>
      <c r="AA221" s="175"/>
      <c r="AB221" s="170"/>
      <c r="AC221" s="170"/>
      <c r="AD221" s="170"/>
      <c r="AE221" s="170"/>
      <c r="AF221" s="170"/>
      <c r="AG221" s="170"/>
    </row>
    <row r="222" spans="1:33" ht="30" customHeight="1">
      <c r="A222" s="175"/>
      <c r="B222" s="176"/>
      <c r="C222" s="176"/>
      <c r="D222" s="176"/>
      <c r="E222" s="175"/>
      <c r="F222" s="177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9"/>
      <c r="W222" s="180"/>
      <c r="X222" s="181"/>
      <c r="Y222" s="179"/>
      <c r="Z222" s="182"/>
      <c r="AA222" s="175"/>
      <c r="AB222" s="170"/>
      <c r="AC222" s="170"/>
      <c r="AD222" s="170"/>
      <c r="AE222" s="170"/>
      <c r="AF222" s="170"/>
      <c r="AG222" s="170"/>
    </row>
    <row r="223" spans="1:33" ht="30" customHeight="1">
      <c r="A223" s="175"/>
      <c r="B223" s="176"/>
      <c r="C223" s="176"/>
      <c r="D223" s="176"/>
      <c r="E223" s="175"/>
      <c r="F223" s="177"/>
      <c r="G223" s="178"/>
      <c r="H223" s="178"/>
      <c r="I223" s="178"/>
      <c r="J223" s="178"/>
      <c r="K223" s="178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9"/>
      <c r="W223" s="180"/>
      <c r="X223" s="181"/>
      <c r="Y223" s="179"/>
      <c r="Z223" s="182"/>
      <c r="AA223" s="175"/>
      <c r="AB223" s="170"/>
      <c r="AC223" s="170"/>
      <c r="AD223" s="170"/>
      <c r="AE223" s="170"/>
      <c r="AF223" s="170"/>
      <c r="AG223" s="170"/>
    </row>
    <row r="224" spans="1:33" ht="30" customHeight="1">
      <c r="A224" s="175"/>
      <c r="B224" s="176"/>
      <c r="C224" s="176"/>
      <c r="D224" s="176"/>
      <c r="E224" s="175"/>
      <c r="F224" s="177"/>
      <c r="G224" s="178"/>
      <c r="H224" s="178"/>
      <c r="I224" s="178"/>
      <c r="J224" s="178"/>
      <c r="K224" s="178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9"/>
      <c r="W224" s="180"/>
      <c r="X224" s="181"/>
      <c r="Y224" s="179"/>
      <c r="Z224" s="182"/>
      <c r="AA224" s="175"/>
      <c r="AB224" s="170"/>
      <c r="AC224" s="170"/>
      <c r="AD224" s="170"/>
      <c r="AE224" s="170"/>
      <c r="AF224" s="170"/>
      <c r="AG224" s="170"/>
    </row>
    <row r="225" spans="1:33" ht="30" customHeight="1">
      <c r="A225" s="175"/>
      <c r="B225" s="176"/>
      <c r="C225" s="176"/>
      <c r="D225" s="176"/>
      <c r="E225" s="175"/>
      <c r="F225" s="177"/>
      <c r="G225" s="178"/>
      <c r="H225" s="178"/>
      <c r="I225" s="178"/>
      <c r="J225" s="178"/>
      <c r="K225" s="178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9"/>
      <c r="W225" s="180"/>
      <c r="X225" s="181"/>
      <c r="Y225" s="179"/>
      <c r="Z225" s="182"/>
      <c r="AA225" s="175"/>
      <c r="AB225" s="170"/>
      <c r="AC225" s="170"/>
      <c r="AD225" s="170"/>
      <c r="AE225" s="170"/>
      <c r="AF225" s="170"/>
      <c r="AG225" s="170"/>
    </row>
    <row r="226" spans="1:33" ht="30" customHeight="1">
      <c r="A226" s="175"/>
      <c r="B226" s="176"/>
      <c r="C226" s="176"/>
      <c r="D226" s="176"/>
      <c r="E226" s="175"/>
      <c r="F226" s="177"/>
      <c r="G226" s="178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9"/>
      <c r="W226" s="180"/>
      <c r="X226" s="181"/>
      <c r="Y226" s="179"/>
      <c r="Z226" s="182"/>
      <c r="AA226" s="175"/>
      <c r="AB226" s="170"/>
      <c r="AC226" s="170"/>
      <c r="AD226" s="170"/>
      <c r="AE226" s="170"/>
      <c r="AF226" s="170"/>
      <c r="AG226" s="170"/>
    </row>
    <row r="227" spans="1:33" ht="30" customHeight="1">
      <c r="A227" s="175"/>
      <c r="B227" s="176"/>
      <c r="C227" s="176"/>
      <c r="D227" s="176"/>
      <c r="E227" s="175"/>
      <c r="F227" s="177"/>
      <c r="G227" s="178"/>
      <c r="H227" s="178"/>
      <c r="I227" s="178"/>
      <c r="J227" s="178"/>
      <c r="K227" s="178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9"/>
      <c r="W227" s="180"/>
      <c r="X227" s="181"/>
      <c r="Y227" s="179"/>
      <c r="Z227" s="182"/>
      <c r="AA227" s="175"/>
      <c r="AB227" s="170"/>
      <c r="AC227" s="170"/>
      <c r="AD227" s="170"/>
      <c r="AE227" s="170"/>
      <c r="AF227" s="170"/>
      <c r="AG227" s="170"/>
    </row>
    <row r="228" spans="1:33" ht="30" customHeight="1">
      <c r="A228" s="175"/>
      <c r="B228" s="176"/>
      <c r="C228" s="176"/>
      <c r="D228" s="176"/>
      <c r="E228" s="175"/>
      <c r="F228" s="177"/>
      <c r="G228" s="178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9"/>
      <c r="W228" s="180"/>
      <c r="X228" s="181"/>
      <c r="Y228" s="179"/>
      <c r="Z228" s="182"/>
      <c r="AA228" s="175"/>
      <c r="AB228" s="170"/>
      <c r="AC228" s="170"/>
      <c r="AD228" s="170"/>
      <c r="AE228" s="170"/>
      <c r="AF228" s="170"/>
      <c r="AG228" s="170"/>
    </row>
    <row r="229" spans="1:33" ht="30" customHeight="1">
      <c r="A229" s="175"/>
      <c r="B229" s="176"/>
      <c r="C229" s="176"/>
      <c r="D229" s="176"/>
      <c r="E229" s="175"/>
      <c r="F229" s="177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9"/>
      <c r="W229" s="180"/>
      <c r="X229" s="181"/>
      <c r="Y229" s="179"/>
      <c r="Z229" s="182"/>
      <c r="AA229" s="175"/>
      <c r="AB229" s="170"/>
      <c r="AC229" s="170"/>
      <c r="AD229" s="170"/>
      <c r="AE229" s="170"/>
      <c r="AF229" s="170"/>
      <c r="AG229" s="170"/>
    </row>
    <row r="230" spans="1:33" ht="30" customHeight="1">
      <c r="A230" s="175"/>
      <c r="B230" s="176"/>
      <c r="C230" s="176"/>
      <c r="D230" s="176"/>
      <c r="E230" s="175"/>
      <c r="F230" s="177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8"/>
      <c r="U230" s="178"/>
      <c r="V230" s="179"/>
      <c r="W230" s="180"/>
      <c r="X230" s="181"/>
      <c r="Y230" s="179"/>
      <c r="Z230" s="182"/>
      <c r="AA230" s="175"/>
      <c r="AB230" s="170"/>
      <c r="AC230" s="170"/>
      <c r="AD230" s="170"/>
      <c r="AE230" s="170"/>
      <c r="AF230" s="170"/>
      <c r="AG230" s="170"/>
    </row>
    <row r="231" spans="1:33" ht="30" customHeight="1">
      <c r="A231" s="175"/>
      <c r="B231" s="176"/>
      <c r="C231" s="176"/>
      <c r="D231" s="176"/>
      <c r="E231" s="175"/>
      <c r="F231" s="177"/>
      <c r="G231" s="178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78"/>
      <c r="U231" s="178"/>
      <c r="V231" s="179"/>
      <c r="W231" s="180"/>
      <c r="X231" s="181"/>
      <c r="Y231" s="179"/>
      <c r="Z231" s="182"/>
      <c r="AA231" s="175"/>
      <c r="AB231" s="170"/>
      <c r="AC231" s="170"/>
      <c r="AD231" s="170"/>
      <c r="AE231" s="170"/>
      <c r="AF231" s="170"/>
      <c r="AG231" s="170"/>
    </row>
    <row r="232" spans="1:33" ht="30" customHeight="1">
      <c r="A232" s="175"/>
      <c r="B232" s="176"/>
      <c r="C232" s="176"/>
      <c r="D232" s="176"/>
      <c r="E232" s="175"/>
      <c r="F232" s="177"/>
      <c r="G232" s="178"/>
      <c r="H232" s="178"/>
      <c r="I232" s="178"/>
      <c r="J232" s="178"/>
      <c r="K232" s="178"/>
      <c r="L232" s="178"/>
      <c r="M232" s="178"/>
      <c r="N232" s="178"/>
      <c r="O232" s="178"/>
      <c r="P232" s="178"/>
      <c r="Q232" s="178"/>
      <c r="R232" s="178"/>
      <c r="S232" s="178"/>
      <c r="T232" s="178"/>
      <c r="U232" s="178"/>
      <c r="V232" s="179"/>
      <c r="W232" s="180"/>
      <c r="X232" s="181"/>
      <c r="Y232" s="179"/>
      <c r="Z232" s="182"/>
      <c r="AA232" s="175"/>
      <c r="AB232" s="170"/>
      <c r="AC232" s="170"/>
      <c r="AD232" s="170"/>
      <c r="AE232" s="170"/>
      <c r="AF232" s="170"/>
      <c r="AG232" s="170"/>
    </row>
    <row r="233" spans="1:33" ht="30" customHeight="1">
      <c r="A233" s="175"/>
      <c r="B233" s="176"/>
      <c r="C233" s="176"/>
      <c r="D233" s="176"/>
      <c r="E233" s="175"/>
      <c r="F233" s="177"/>
      <c r="G233" s="178"/>
      <c r="H233" s="178"/>
      <c r="I233" s="178"/>
      <c r="J233" s="178"/>
      <c r="K233" s="178"/>
      <c r="L233" s="178"/>
      <c r="M233" s="178"/>
      <c r="N233" s="178"/>
      <c r="O233" s="178"/>
      <c r="P233" s="178"/>
      <c r="Q233" s="178"/>
      <c r="R233" s="178"/>
      <c r="S233" s="178"/>
      <c r="T233" s="178"/>
      <c r="U233" s="178"/>
      <c r="V233" s="179"/>
      <c r="W233" s="180"/>
      <c r="X233" s="181"/>
      <c r="Y233" s="179"/>
      <c r="Z233" s="182"/>
      <c r="AA233" s="175"/>
      <c r="AB233" s="170"/>
      <c r="AC233" s="170"/>
      <c r="AD233" s="170"/>
      <c r="AE233" s="170"/>
      <c r="AF233" s="170"/>
      <c r="AG233" s="170"/>
    </row>
    <row r="234" spans="1:33" ht="30" customHeight="1">
      <c r="A234" s="175"/>
      <c r="B234" s="176"/>
      <c r="C234" s="176"/>
      <c r="D234" s="176"/>
      <c r="E234" s="175"/>
      <c r="F234" s="177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  <c r="R234" s="178"/>
      <c r="S234" s="178"/>
      <c r="T234" s="178"/>
      <c r="U234" s="178"/>
      <c r="V234" s="179"/>
      <c r="W234" s="180"/>
      <c r="X234" s="181"/>
      <c r="Y234" s="179"/>
      <c r="Z234" s="182"/>
      <c r="AA234" s="175"/>
      <c r="AB234" s="170"/>
      <c r="AC234" s="170"/>
      <c r="AD234" s="170"/>
      <c r="AE234" s="170"/>
      <c r="AF234" s="170"/>
      <c r="AG234" s="170"/>
    </row>
    <row r="235" spans="1:33" ht="30" customHeight="1">
      <c r="A235" s="175"/>
      <c r="B235" s="176"/>
      <c r="C235" s="176"/>
      <c r="D235" s="176"/>
      <c r="E235" s="175"/>
      <c r="F235" s="177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  <c r="T235" s="178"/>
      <c r="U235" s="178"/>
      <c r="V235" s="179"/>
      <c r="W235" s="180"/>
      <c r="X235" s="181"/>
      <c r="Y235" s="179"/>
      <c r="Z235" s="182"/>
      <c r="AA235" s="175"/>
      <c r="AB235" s="170"/>
      <c r="AC235" s="170"/>
      <c r="AD235" s="170"/>
      <c r="AE235" s="170"/>
      <c r="AF235" s="170"/>
      <c r="AG235" s="170"/>
    </row>
    <row r="236" spans="1:33" ht="30" customHeight="1">
      <c r="A236" s="175"/>
      <c r="B236" s="176"/>
      <c r="C236" s="176"/>
      <c r="D236" s="176"/>
      <c r="E236" s="175"/>
      <c r="F236" s="177"/>
      <c r="G236" s="178"/>
      <c r="H236" s="178"/>
      <c r="I236" s="178"/>
      <c r="J236" s="178"/>
      <c r="K236" s="178"/>
      <c r="L236" s="178"/>
      <c r="M236" s="178"/>
      <c r="N236" s="178"/>
      <c r="O236" s="178"/>
      <c r="P236" s="178"/>
      <c r="Q236" s="178"/>
      <c r="R236" s="178"/>
      <c r="S236" s="178"/>
      <c r="T236" s="178"/>
      <c r="U236" s="178"/>
      <c r="V236" s="179"/>
      <c r="W236" s="180"/>
      <c r="X236" s="181"/>
      <c r="Y236" s="179"/>
      <c r="Z236" s="182"/>
      <c r="AA236" s="175"/>
      <c r="AB236" s="170"/>
      <c r="AC236" s="170"/>
      <c r="AD236" s="170"/>
      <c r="AE236" s="170"/>
      <c r="AF236" s="170"/>
      <c r="AG236" s="170"/>
    </row>
    <row r="237" spans="1:33" ht="30" customHeight="1">
      <c r="A237" s="175"/>
      <c r="B237" s="176"/>
      <c r="C237" s="176"/>
      <c r="D237" s="176"/>
      <c r="E237" s="175"/>
      <c r="F237" s="177"/>
      <c r="G237" s="178"/>
      <c r="H237" s="178"/>
      <c r="I237" s="178"/>
      <c r="J237" s="178"/>
      <c r="K237" s="178"/>
      <c r="L237" s="178"/>
      <c r="M237" s="178"/>
      <c r="N237" s="178"/>
      <c r="O237" s="178"/>
      <c r="P237" s="178"/>
      <c r="Q237" s="178"/>
      <c r="R237" s="178"/>
      <c r="S237" s="178"/>
      <c r="T237" s="178"/>
      <c r="U237" s="178"/>
      <c r="V237" s="179"/>
      <c r="W237" s="180"/>
      <c r="X237" s="181"/>
      <c r="Y237" s="179"/>
      <c r="Z237" s="182"/>
      <c r="AA237" s="175"/>
      <c r="AB237" s="170"/>
      <c r="AC237" s="170"/>
      <c r="AD237" s="170"/>
      <c r="AE237" s="170"/>
      <c r="AF237" s="170"/>
      <c r="AG237" s="170"/>
    </row>
    <row r="238" spans="1:33" ht="30" customHeight="1">
      <c r="A238" s="175"/>
      <c r="B238" s="176"/>
      <c r="C238" s="176"/>
      <c r="D238" s="176"/>
      <c r="E238" s="175"/>
      <c r="F238" s="177"/>
      <c r="G238" s="178"/>
      <c r="H238" s="178"/>
      <c r="I238" s="178"/>
      <c r="J238" s="178"/>
      <c r="K238" s="178"/>
      <c r="L238" s="178"/>
      <c r="M238" s="178"/>
      <c r="N238" s="178"/>
      <c r="O238" s="178"/>
      <c r="P238" s="178"/>
      <c r="Q238" s="178"/>
      <c r="R238" s="178"/>
      <c r="S238" s="178"/>
      <c r="T238" s="178"/>
      <c r="U238" s="178"/>
      <c r="V238" s="179"/>
      <c r="W238" s="180"/>
      <c r="X238" s="181"/>
      <c r="Y238" s="179"/>
      <c r="Z238" s="182"/>
      <c r="AA238" s="175"/>
      <c r="AB238" s="170"/>
      <c r="AC238" s="170"/>
      <c r="AD238" s="170"/>
      <c r="AE238" s="170"/>
      <c r="AF238" s="170"/>
      <c r="AG238" s="170"/>
    </row>
    <row r="239" spans="1:33" ht="30" customHeight="1">
      <c r="A239" s="175"/>
      <c r="B239" s="176"/>
      <c r="C239" s="176"/>
      <c r="D239" s="176"/>
      <c r="E239" s="175"/>
      <c r="F239" s="177"/>
      <c r="G239" s="178"/>
      <c r="H239" s="178"/>
      <c r="I239" s="178"/>
      <c r="J239" s="178"/>
      <c r="K239" s="178"/>
      <c r="L239" s="178"/>
      <c r="M239" s="178"/>
      <c r="N239" s="178"/>
      <c r="O239" s="178"/>
      <c r="P239" s="178"/>
      <c r="Q239" s="178"/>
      <c r="R239" s="178"/>
      <c r="S239" s="178"/>
      <c r="T239" s="178"/>
      <c r="U239" s="178"/>
      <c r="V239" s="179"/>
      <c r="W239" s="180"/>
      <c r="X239" s="181"/>
      <c r="Y239" s="179"/>
      <c r="Z239" s="182"/>
      <c r="AA239" s="175"/>
      <c r="AB239" s="170"/>
      <c r="AC239" s="170"/>
      <c r="AD239" s="170"/>
      <c r="AE239" s="170"/>
      <c r="AF239" s="170"/>
      <c r="AG239" s="170"/>
    </row>
    <row r="240" spans="1:33" ht="30" customHeight="1">
      <c r="A240" s="175"/>
      <c r="B240" s="176"/>
      <c r="C240" s="176"/>
      <c r="D240" s="176"/>
      <c r="E240" s="175"/>
      <c r="F240" s="177"/>
      <c r="G240" s="178"/>
      <c r="H240" s="178"/>
      <c r="I240" s="178"/>
      <c r="J240" s="178"/>
      <c r="K240" s="178"/>
      <c r="L240" s="178"/>
      <c r="M240" s="178"/>
      <c r="N240" s="178"/>
      <c r="O240" s="178"/>
      <c r="P240" s="178"/>
      <c r="Q240" s="178"/>
      <c r="R240" s="178"/>
      <c r="S240" s="178"/>
      <c r="T240" s="178"/>
      <c r="U240" s="178"/>
      <c r="V240" s="179"/>
      <c r="W240" s="180"/>
      <c r="X240" s="181"/>
      <c r="Y240" s="179"/>
      <c r="Z240" s="182"/>
      <c r="AA240" s="175"/>
      <c r="AB240" s="170"/>
      <c r="AC240" s="170"/>
      <c r="AD240" s="170"/>
      <c r="AE240" s="170"/>
      <c r="AF240" s="170"/>
      <c r="AG240" s="170"/>
    </row>
    <row r="241" spans="1:33" ht="30" customHeight="1">
      <c r="A241" s="175"/>
      <c r="B241" s="176"/>
      <c r="C241" s="176"/>
      <c r="D241" s="176"/>
      <c r="E241" s="175"/>
      <c r="F241" s="177"/>
      <c r="G241" s="178"/>
      <c r="H241" s="178"/>
      <c r="I241" s="178"/>
      <c r="J241" s="178"/>
      <c r="K241" s="178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9"/>
      <c r="W241" s="180"/>
      <c r="X241" s="181"/>
      <c r="Y241" s="179"/>
      <c r="Z241" s="182"/>
      <c r="AA241" s="175"/>
      <c r="AB241" s="170"/>
      <c r="AC241" s="170"/>
      <c r="AD241" s="170"/>
      <c r="AE241" s="170"/>
      <c r="AF241" s="170"/>
      <c r="AG241" s="170"/>
    </row>
    <row r="242" spans="1:33" ht="30" customHeight="1">
      <c r="A242" s="175"/>
      <c r="B242" s="176"/>
      <c r="C242" s="176"/>
      <c r="D242" s="176"/>
      <c r="E242" s="175"/>
      <c r="F242" s="177"/>
      <c r="G242" s="178"/>
      <c r="H242" s="178"/>
      <c r="I242" s="178"/>
      <c r="J242" s="178"/>
      <c r="K242" s="178"/>
      <c r="L242" s="178"/>
      <c r="M242" s="178"/>
      <c r="N242" s="178"/>
      <c r="O242" s="178"/>
      <c r="P242" s="178"/>
      <c r="Q242" s="178"/>
      <c r="R242" s="178"/>
      <c r="S242" s="178"/>
      <c r="T242" s="178"/>
      <c r="U242" s="178"/>
      <c r="V242" s="179"/>
      <c r="W242" s="180"/>
      <c r="X242" s="181"/>
      <c r="Y242" s="179"/>
      <c r="Z242" s="182"/>
      <c r="AA242" s="175"/>
      <c r="AB242" s="170"/>
      <c r="AC242" s="170"/>
      <c r="AD242" s="170"/>
      <c r="AE242" s="170"/>
      <c r="AF242" s="170"/>
      <c r="AG242" s="170"/>
    </row>
    <row r="243" spans="1:33" ht="30" customHeight="1">
      <c r="A243" s="175"/>
      <c r="B243" s="176"/>
      <c r="C243" s="176"/>
      <c r="D243" s="176"/>
      <c r="E243" s="175"/>
      <c r="F243" s="177"/>
      <c r="G243" s="178"/>
      <c r="H243" s="178"/>
      <c r="I243" s="178"/>
      <c r="J243" s="178"/>
      <c r="K243" s="178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9"/>
      <c r="W243" s="180"/>
      <c r="X243" s="181"/>
      <c r="Y243" s="179"/>
      <c r="Z243" s="182"/>
      <c r="AA243" s="175"/>
      <c r="AB243" s="170"/>
      <c r="AC243" s="170"/>
      <c r="AD243" s="170"/>
      <c r="AE243" s="170"/>
      <c r="AF243" s="170"/>
      <c r="AG243" s="170"/>
    </row>
    <row r="244" spans="1:33" ht="30" customHeight="1">
      <c r="A244" s="175"/>
      <c r="B244" s="176"/>
      <c r="C244" s="176"/>
      <c r="D244" s="176"/>
      <c r="E244" s="175"/>
      <c r="F244" s="177"/>
      <c r="G244" s="178"/>
      <c r="H244" s="178"/>
      <c r="I244" s="178"/>
      <c r="J244" s="178"/>
      <c r="K244" s="178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9"/>
      <c r="W244" s="180"/>
      <c r="X244" s="181"/>
      <c r="Y244" s="179"/>
      <c r="Z244" s="182"/>
      <c r="AA244" s="175"/>
      <c r="AB244" s="170"/>
      <c r="AC244" s="170"/>
      <c r="AD244" s="170"/>
      <c r="AE244" s="170"/>
      <c r="AF244" s="170"/>
      <c r="AG244" s="170"/>
    </row>
    <row r="245" spans="1:33" ht="30" customHeight="1">
      <c r="A245" s="175"/>
      <c r="B245" s="176"/>
      <c r="C245" s="176"/>
      <c r="D245" s="176"/>
      <c r="E245" s="175"/>
      <c r="F245" s="177"/>
      <c r="G245" s="178"/>
      <c r="H245" s="178"/>
      <c r="I245" s="178"/>
      <c r="J245" s="178"/>
      <c r="K245" s="178"/>
      <c r="L245" s="178"/>
      <c r="M245" s="178"/>
      <c r="N245" s="178"/>
      <c r="O245" s="178"/>
      <c r="P245" s="178"/>
      <c r="Q245" s="178"/>
      <c r="R245" s="178"/>
      <c r="S245" s="178"/>
      <c r="T245" s="178"/>
      <c r="U245" s="178"/>
      <c r="V245" s="179"/>
      <c r="W245" s="180"/>
      <c r="X245" s="181"/>
      <c r="Y245" s="179"/>
      <c r="Z245" s="182"/>
      <c r="AA245" s="175"/>
      <c r="AB245" s="170"/>
      <c r="AC245" s="170"/>
      <c r="AD245" s="170"/>
      <c r="AE245" s="170"/>
      <c r="AF245" s="170"/>
      <c r="AG245" s="170"/>
    </row>
    <row r="246" spans="1:33" ht="30" customHeight="1">
      <c r="A246" s="175"/>
      <c r="B246" s="176"/>
      <c r="C246" s="176"/>
      <c r="D246" s="176"/>
      <c r="E246" s="175"/>
      <c r="F246" s="177"/>
      <c r="G246" s="178"/>
      <c r="H246" s="178"/>
      <c r="I246" s="178"/>
      <c r="J246" s="178"/>
      <c r="K246" s="178"/>
      <c r="L246" s="178"/>
      <c r="M246" s="178"/>
      <c r="N246" s="178"/>
      <c r="O246" s="178"/>
      <c r="P246" s="178"/>
      <c r="Q246" s="178"/>
      <c r="R246" s="178"/>
      <c r="S246" s="178"/>
      <c r="T246" s="178"/>
      <c r="U246" s="178"/>
      <c r="V246" s="179"/>
      <c r="W246" s="180"/>
      <c r="X246" s="181"/>
      <c r="Y246" s="179"/>
      <c r="Z246" s="182"/>
      <c r="AA246" s="175"/>
      <c r="AB246" s="170"/>
      <c r="AC246" s="170"/>
      <c r="AD246" s="170"/>
      <c r="AE246" s="170"/>
      <c r="AF246" s="170"/>
      <c r="AG246" s="170"/>
    </row>
    <row r="247" spans="1:33" ht="30" customHeight="1">
      <c r="A247" s="175"/>
      <c r="B247" s="176"/>
      <c r="C247" s="176"/>
      <c r="D247" s="176"/>
      <c r="E247" s="175"/>
      <c r="F247" s="177"/>
      <c r="G247" s="178"/>
      <c r="H247" s="178"/>
      <c r="I247" s="178"/>
      <c r="J247" s="178"/>
      <c r="K247" s="178"/>
      <c r="L247" s="178"/>
      <c r="M247" s="178"/>
      <c r="N247" s="178"/>
      <c r="O247" s="178"/>
      <c r="P247" s="178"/>
      <c r="Q247" s="178"/>
      <c r="R247" s="178"/>
      <c r="S247" s="178"/>
      <c r="T247" s="178"/>
      <c r="U247" s="178"/>
      <c r="V247" s="179"/>
      <c r="W247" s="180"/>
      <c r="X247" s="181"/>
      <c r="Y247" s="179"/>
      <c r="Z247" s="182"/>
      <c r="AA247" s="175"/>
      <c r="AB247" s="170"/>
      <c r="AC247" s="170"/>
      <c r="AD247" s="170"/>
      <c r="AE247" s="170"/>
      <c r="AF247" s="170"/>
      <c r="AG247" s="170"/>
    </row>
    <row r="248" spans="1:33" ht="30" customHeight="1">
      <c r="A248" s="175"/>
      <c r="B248" s="176"/>
      <c r="C248" s="176"/>
      <c r="D248" s="176"/>
      <c r="E248" s="175"/>
      <c r="F248" s="177"/>
      <c r="G248" s="178"/>
      <c r="H248" s="178"/>
      <c r="I248" s="178"/>
      <c r="J248" s="178"/>
      <c r="K248" s="178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9"/>
      <c r="W248" s="180"/>
      <c r="X248" s="181"/>
      <c r="Y248" s="179"/>
      <c r="Z248" s="182"/>
      <c r="AA248" s="175"/>
      <c r="AB248" s="170"/>
      <c r="AC248" s="170"/>
      <c r="AD248" s="170"/>
      <c r="AE248" s="170"/>
      <c r="AF248" s="170"/>
      <c r="AG248" s="170"/>
    </row>
    <row r="249" spans="1:33" ht="30" customHeight="1">
      <c r="A249" s="175"/>
      <c r="B249" s="176"/>
      <c r="C249" s="176"/>
      <c r="D249" s="176"/>
      <c r="E249" s="175"/>
      <c r="F249" s="177"/>
      <c r="G249" s="178"/>
      <c r="H249" s="178"/>
      <c r="I249" s="178"/>
      <c r="J249" s="178"/>
      <c r="K249" s="178"/>
      <c r="L249" s="178"/>
      <c r="M249" s="178"/>
      <c r="N249" s="178"/>
      <c r="O249" s="178"/>
      <c r="P249" s="178"/>
      <c r="Q249" s="178"/>
      <c r="R249" s="178"/>
      <c r="S249" s="178"/>
      <c r="T249" s="178"/>
      <c r="U249" s="178"/>
      <c r="V249" s="179"/>
      <c r="W249" s="180"/>
      <c r="X249" s="181"/>
      <c r="Y249" s="179"/>
      <c r="Z249" s="182"/>
      <c r="AA249" s="175"/>
      <c r="AB249" s="170"/>
      <c r="AC249" s="170"/>
      <c r="AD249" s="170"/>
      <c r="AE249" s="170"/>
      <c r="AF249" s="170"/>
      <c r="AG249" s="170"/>
    </row>
    <row r="250" spans="1:33" ht="30" customHeight="1">
      <c r="A250" s="175"/>
      <c r="B250" s="176"/>
      <c r="C250" s="176"/>
      <c r="D250" s="176"/>
      <c r="E250" s="175"/>
      <c r="F250" s="177"/>
      <c r="G250" s="178"/>
      <c r="H250" s="178"/>
      <c r="I250" s="178"/>
      <c r="J250" s="178"/>
      <c r="K250" s="178"/>
      <c r="L250" s="178"/>
      <c r="M250" s="178"/>
      <c r="N250" s="178"/>
      <c r="O250" s="178"/>
      <c r="P250" s="178"/>
      <c r="Q250" s="178"/>
      <c r="R250" s="178"/>
      <c r="S250" s="178"/>
      <c r="T250" s="178"/>
      <c r="U250" s="178"/>
      <c r="V250" s="179"/>
      <c r="W250" s="180"/>
      <c r="X250" s="181"/>
      <c r="Y250" s="179"/>
      <c r="Z250" s="182"/>
      <c r="AA250" s="175"/>
      <c r="AB250" s="170"/>
      <c r="AC250" s="170"/>
      <c r="AD250" s="170"/>
      <c r="AE250" s="170"/>
      <c r="AF250" s="170"/>
      <c r="AG250" s="170"/>
    </row>
    <row r="251" spans="1:33" ht="30" customHeight="1">
      <c r="A251" s="175"/>
      <c r="B251" s="176"/>
      <c r="C251" s="176"/>
      <c r="D251" s="176"/>
      <c r="E251" s="175"/>
      <c r="F251" s="177"/>
      <c r="G251" s="178"/>
      <c r="H251" s="178"/>
      <c r="I251" s="178"/>
      <c r="J251" s="178"/>
      <c r="K251" s="178"/>
      <c r="L251" s="178"/>
      <c r="M251" s="178"/>
      <c r="N251" s="178"/>
      <c r="O251" s="178"/>
      <c r="P251" s="178"/>
      <c r="Q251" s="178"/>
      <c r="R251" s="178"/>
      <c r="S251" s="178"/>
      <c r="T251" s="178"/>
      <c r="U251" s="178"/>
      <c r="V251" s="179"/>
      <c r="W251" s="180"/>
      <c r="X251" s="181"/>
      <c r="Y251" s="179"/>
      <c r="Z251" s="182"/>
      <c r="AA251" s="175"/>
      <c r="AB251" s="170"/>
      <c r="AC251" s="170"/>
      <c r="AD251" s="170"/>
      <c r="AE251" s="170"/>
      <c r="AF251" s="170"/>
      <c r="AG251" s="170"/>
    </row>
    <row r="252" spans="1:33" ht="30" customHeight="1">
      <c r="A252" s="175"/>
      <c r="B252" s="176"/>
      <c r="C252" s="176"/>
      <c r="D252" s="176"/>
      <c r="E252" s="175"/>
      <c r="F252" s="177"/>
      <c r="G252" s="178"/>
      <c r="H252" s="178"/>
      <c r="I252" s="178"/>
      <c r="J252" s="178"/>
      <c r="K252" s="178"/>
      <c r="L252" s="178"/>
      <c r="M252" s="178"/>
      <c r="N252" s="178"/>
      <c r="O252" s="178"/>
      <c r="P252" s="178"/>
      <c r="Q252" s="178"/>
      <c r="R252" s="178"/>
      <c r="S252" s="178"/>
      <c r="T252" s="178"/>
      <c r="U252" s="178"/>
      <c r="V252" s="179"/>
      <c r="W252" s="180"/>
      <c r="X252" s="181"/>
      <c r="Y252" s="179"/>
      <c r="Z252" s="182"/>
      <c r="AA252" s="175"/>
      <c r="AB252" s="170"/>
      <c r="AC252" s="170"/>
      <c r="AD252" s="170"/>
      <c r="AE252" s="170"/>
      <c r="AF252" s="170"/>
      <c r="AG252" s="170"/>
    </row>
    <row r="253" spans="1:33" ht="30" customHeight="1">
      <c r="A253" s="175"/>
      <c r="B253" s="176"/>
      <c r="C253" s="176"/>
      <c r="D253" s="176"/>
      <c r="E253" s="175"/>
      <c r="F253" s="177"/>
      <c r="G253" s="178"/>
      <c r="H253" s="178"/>
      <c r="I253" s="178"/>
      <c r="J253" s="178"/>
      <c r="K253" s="178"/>
      <c r="L253" s="178"/>
      <c r="M253" s="178"/>
      <c r="N253" s="178"/>
      <c r="O253" s="178"/>
      <c r="P253" s="178"/>
      <c r="Q253" s="178"/>
      <c r="R253" s="178"/>
      <c r="S253" s="178"/>
      <c r="T253" s="178"/>
      <c r="U253" s="178"/>
      <c r="V253" s="179"/>
      <c r="W253" s="180"/>
      <c r="X253" s="181"/>
      <c r="Y253" s="179"/>
      <c r="Z253" s="182"/>
      <c r="AA253" s="175"/>
      <c r="AB253" s="170"/>
      <c r="AC253" s="170"/>
      <c r="AD253" s="170"/>
      <c r="AE253" s="170"/>
      <c r="AF253" s="170"/>
      <c r="AG253" s="170"/>
    </row>
    <row r="254" spans="1:33" ht="15.75" customHeight="1"/>
    <row r="255" spans="1:33" ht="15.75" customHeight="1"/>
    <row r="256" spans="1:3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AG53" xr:uid="{00000000-0009-0000-0000-000004000000}"/>
  <mergeCells count="11">
    <mergeCell ref="M1:O1"/>
    <mergeCell ref="P1:T1"/>
    <mergeCell ref="U1:U2"/>
    <mergeCell ref="V1:AA1"/>
    <mergeCell ref="A1:A2"/>
    <mergeCell ref="B1:B2"/>
    <mergeCell ref="C1:C2"/>
    <mergeCell ref="D1:D2"/>
    <mergeCell ref="E1:E2"/>
    <mergeCell ref="H1:I1"/>
    <mergeCell ref="J1:L1"/>
  </mergeCells>
  <conditionalFormatting sqref="C4:C32">
    <cfRule type="notContainsBlanks" dxfId="13" priority="1">
      <formula>LEN(TRIM(C4))&gt;0</formula>
    </cfRule>
  </conditionalFormatting>
  <conditionalFormatting sqref="F4:G32 H4:H31">
    <cfRule type="cellIs" dxfId="12" priority="2" operator="equal">
      <formula>"Tidak Ada"</formula>
    </cfRule>
  </conditionalFormatting>
  <conditionalFormatting sqref="F4:G32 H4:H31">
    <cfRule type="cellIs" dxfId="11" priority="3" operator="equal">
      <formula>"Ada"</formula>
    </cfRule>
  </conditionalFormatting>
  <conditionalFormatting sqref="I4:I5">
    <cfRule type="cellIs" dxfId="10" priority="4" operator="equal">
      <formula>"Tidak Ada"</formula>
    </cfRule>
  </conditionalFormatting>
  <conditionalFormatting sqref="I4:I5">
    <cfRule type="cellIs" dxfId="9" priority="5" operator="equal">
      <formula>"Ada"</formula>
    </cfRule>
  </conditionalFormatting>
  <conditionalFormatting sqref="I8:I10">
    <cfRule type="cellIs" dxfId="8" priority="6" operator="equal">
      <formula>"Tidak Ada"</formula>
    </cfRule>
  </conditionalFormatting>
  <conditionalFormatting sqref="I8:I10">
    <cfRule type="cellIs" dxfId="7" priority="7" operator="equal">
      <formula>"Ada"</formula>
    </cfRule>
  </conditionalFormatting>
  <conditionalFormatting sqref="I14">
    <cfRule type="cellIs" dxfId="6" priority="8" operator="equal">
      <formula>"Tidak Ada"</formula>
    </cfRule>
  </conditionalFormatting>
  <conditionalFormatting sqref="I14">
    <cfRule type="cellIs" dxfId="5" priority="9" operator="equal">
      <formula>"Ada"</formula>
    </cfRule>
  </conditionalFormatting>
  <conditionalFormatting sqref="I16:I21">
    <cfRule type="cellIs" dxfId="4" priority="10" operator="equal">
      <formula>"Tidak Ada"</formula>
    </cfRule>
  </conditionalFormatting>
  <conditionalFormatting sqref="I16:I21">
    <cfRule type="cellIs" dxfId="3" priority="11" operator="equal">
      <formula>"Ada"</formula>
    </cfRule>
  </conditionalFormatting>
  <conditionalFormatting sqref="I24:I31">
    <cfRule type="cellIs" dxfId="2" priority="12" operator="equal">
      <formula>"Tidak Ada"</formula>
    </cfRule>
  </conditionalFormatting>
  <conditionalFormatting sqref="I24:I31">
    <cfRule type="cellIs" dxfId="1" priority="13" operator="equal">
      <formula>"Ada"</formula>
    </cfRule>
  </conditionalFormatting>
  <pageMargins left="0.7" right="0.7" top="0.75" bottom="0.75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2EFD9"/>
  </sheetPr>
  <dimension ref="A1:BI551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4.42578125" defaultRowHeight="15" customHeight="1" outlineLevelRow="2" outlineLevelCol="1"/>
  <cols>
    <col min="1" max="1" width="5.140625" customWidth="1" outlineLevel="1"/>
    <col min="2" max="2" width="5.42578125" customWidth="1" outlineLevel="1"/>
    <col min="3" max="3" width="26.7109375" customWidth="1" outlineLevel="1"/>
    <col min="4" max="4" width="17.140625" customWidth="1"/>
    <col min="5" max="5" width="9.140625" customWidth="1"/>
    <col min="6" max="7" width="12.28515625" customWidth="1"/>
    <col min="8" max="8" width="11.28515625" customWidth="1"/>
    <col min="9" max="9" width="22.7109375" customWidth="1"/>
    <col min="10" max="10" width="12.85546875" customWidth="1"/>
    <col min="11" max="11" width="10.7109375" customWidth="1"/>
    <col min="12" max="12" width="12.5703125" customWidth="1"/>
    <col min="13" max="13" width="14" customWidth="1"/>
    <col min="14" max="14" width="15" customWidth="1"/>
    <col min="15" max="15" width="24.42578125" customWidth="1"/>
    <col min="16" max="16" width="10.5703125" customWidth="1"/>
    <col min="17" max="17" width="10.7109375" customWidth="1"/>
    <col min="18" max="20" width="12.42578125" customWidth="1"/>
    <col min="21" max="21" width="40.5703125" customWidth="1"/>
    <col min="22" max="22" width="12.42578125" customWidth="1"/>
    <col min="23" max="23" width="10.7109375" customWidth="1"/>
    <col min="24" max="24" width="12.42578125" customWidth="1"/>
    <col min="25" max="25" width="12.5703125" customWidth="1"/>
    <col min="26" max="26" width="17.42578125" customWidth="1"/>
    <col min="27" max="28" width="12.140625" customWidth="1"/>
    <col min="29" max="29" width="8.140625" customWidth="1"/>
    <col min="30" max="30" width="27.7109375" customWidth="1"/>
    <col min="31" max="31" width="16.85546875" customWidth="1"/>
    <col min="32" max="32" width="40.42578125" customWidth="1"/>
    <col min="33" max="33" width="20.85546875" customWidth="1"/>
    <col min="34" max="34" width="15.7109375" customWidth="1"/>
    <col min="35" max="35" width="13.7109375" customWidth="1"/>
    <col min="36" max="36" width="13.42578125" customWidth="1"/>
    <col min="37" max="37" width="17.85546875" customWidth="1"/>
    <col min="38" max="61" width="8.7109375" customWidth="1"/>
  </cols>
  <sheetData>
    <row r="1" spans="1:61" ht="16.5" customHeight="1">
      <c r="A1" s="183" t="s">
        <v>1045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5"/>
      <c r="P1" s="184"/>
      <c r="Q1" s="184"/>
      <c r="R1" s="186"/>
      <c r="S1" s="187"/>
      <c r="T1" s="188"/>
      <c r="U1" s="188"/>
      <c r="V1" s="188"/>
      <c r="W1" s="188"/>
      <c r="X1" s="188"/>
      <c r="Y1" s="188"/>
      <c r="Z1" s="187"/>
      <c r="AA1" s="189"/>
      <c r="AB1" s="190"/>
      <c r="AC1" s="191"/>
      <c r="AD1" s="192"/>
      <c r="AE1" s="191"/>
      <c r="AF1" s="1"/>
      <c r="AG1" s="192"/>
      <c r="AH1" s="192"/>
      <c r="AI1" s="192"/>
      <c r="AJ1" s="193"/>
      <c r="AK1" s="192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6.5" customHeight="1">
      <c r="A2" s="194"/>
      <c r="B2" s="194"/>
      <c r="C2" s="195"/>
      <c r="D2" s="196" t="s">
        <v>1046</v>
      </c>
      <c r="E2" s="197"/>
      <c r="F2" s="616" t="s">
        <v>1047</v>
      </c>
      <c r="G2" s="617" t="s">
        <v>1048</v>
      </c>
      <c r="H2" s="564"/>
      <c r="I2" s="564"/>
      <c r="J2" s="564"/>
      <c r="K2" s="564"/>
      <c r="L2" s="564"/>
      <c r="M2" s="559"/>
      <c r="N2" s="618" t="s">
        <v>1049</v>
      </c>
      <c r="O2" s="564"/>
      <c r="P2" s="564"/>
      <c r="Q2" s="564"/>
      <c r="R2" s="564"/>
      <c r="S2" s="559"/>
      <c r="T2" s="619" t="s">
        <v>1050</v>
      </c>
      <c r="U2" s="564"/>
      <c r="V2" s="564"/>
      <c r="W2" s="564"/>
      <c r="X2" s="564"/>
      <c r="Y2" s="559"/>
      <c r="Z2" s="198" t="s">
        <v>1051</v>
      </c>
      <c r="AA2" s="199"/>
      <c r="AB2" s="620" t="s">
        <v>1052</v>
      </c>
      <c r="AC2" s="200"/>
      <c r="AD2" s="200"/>
      <c r="AE2" s="609" t="s">
        <v>1053</v>
      </c>
      <c r="AF2" s="1"/>
      <c r="AG2" s="609" t="s">
        <v>1054</v>
      </c>
      <c r="AH2" s="609" t="s">
        <v>1055</v>
      </c>
      <c r="AI2" s="609" t="s">
        <v>1056</v>
      </c>
      <c r="AJ2" s="609" t="s">
        <v>1057</v>
      </c>
      <c r="AK2" s="609" t="s">
        <v>1058</v>
      </c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6.5" customHeight="1" outlineLevel="1">
      <c r="A3" s="194" t="s">
        <v>1059</v>
      </c>
      <c r="B3" s="194" t="s">
        <v>1059</v>
      </c>
      <c r="C3" s="195" t="s">
        <v>1060</v>
      </c>
      <c r="D3" s="196" t="s">
        <v>1061</v>
      </c>
      <c r="E3" s="197" t="s">
        <v>1062</v>
      </c>
      <c r="F3" s="570"/>
      <c r="G3" s="201" t="s">
        <v>1063</v>
      </c>
      <c r="H3" s="201"/>
      <c r="I3" s="201" t="s">
        <v>1064</v>
      </c>
      <c r="J3" s="610" t="s">
        <v>1065</v>
      </c>
      <c r="K3" s="564"/>
      <c r="L3" s="559"/>
      <c r="M3" s="611" t="s">
        <v>1066</v>
      </c>
      <c r="N3" s="194" t="s">
        <v>1063</v>
      </c>
      <c r="O3" s="194" t="s">
        <v>1064</v>
      </c>
      <c r="P3" s="622" t="s">
        <v>1065</v>
      </c>
      <c r="Q3" s="564"/>
      <c r="R3" s="559"/>
      <c r="S3" s="623" t="s">
        <v>1066</v>
      </c>
      <c r="T3" s="202" t="s">
        <v>1063</v>
      </c>
      <c r="U3" s="202" t="s">
        <v>1064</v>
      </c>
      <c r="V3" s="612" t="s">
        <v>1065</v>
      </c>
      <c r="W3" s="564"/>
      <c r="X3" s="559"/>
      <c r="Y3" s="613" t="s">
        <v>1066</v>
      </c>
      <c r="Z3" s="198" t="s">
        <v>1067</v>
      </c>
      <c r="AA3" s="199"/>
      <c r="AB3" s="570"/>
      <c r="AC3" s="200" t="s">
        <v>1068</v>
      </c>
      <c r="AD3" s="200" t="s">
        <v>1069</v>
      </c>
      <c r="AE3" s="570"/>
      <c r="AF3" s="1"/>
      <c r="AG3" s="570"/>
      <c r="AH3" s="570"/>
      <c r="AI3" s="570"/>
      <c r="AJ3" s="570"/>
      <c r="AK3" s="570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16.5" customHeight="1" outlineLevel="1">
      <c r="A4" s="194"/>
      <c r="B4" s="194"/>
      <c r="C4" s="195"/>
      <c r="D4" s="196"/>
      <c r="E4" s="197"/>
      <c r="F4" s="561"/>
      <c r="G4" s="201" t="s">
        <v>1070</v>
      </c>
      <c r="H4" s="201"/>
      <c r="I4" s="201"/>
      <c r="J4" s="203" t="s">
        <v>1071</v>
      </c>
      <c r="K4" s="203" t="s">
        <v>1072</v>
      </c>
      <c r="L4" s="203" t="s">
        <v>1073</v>
      </c>
      <c r="M4" s="561"/>
      <c r="N4" s="194" t="s">
        <v>1070</v>
      </c>
      <c r="O4" s="204"/>
      <c r="P4" s="205" t="s">
        <v>1071</v>
      </c>
      <c r="Q4" s="205" t="s">
        <v>1072</v>
      </c>
      <c r="R4" s="205" t="s">
        <v>1073</v>
      </c>
      <c r="S4" s="561"/>
      <c r="T4" s="202" t="s">
        <v>1070</v>
      </c>
      <c r="U4" s="202"/>
      <c r="V4" s="206" t="s">
        <v>1071</v>
      </c>
      <c r="W4" s="206" t="s">
        <v>1072</v>
      </c>
      <c r="X4" s="206" t="s">
        <v>1073</v>
      </c>
      <c r="Y4" s="561"/>
      <c r="Z4" s="198"/>
      <c r="AA4" s="199"/>
      <c r="AB4" s="561"/>
      <c r="AC4" s="200"/>
      <c r="AD4" s="200"/>
      <c r="AE4" s="561"/>
      <c r="AF4" s="1"/>
      <c r="AG4" s="561"/>
      <c r="AH4" s="561"/>
      <c r="AI4" s="561"/>
      <c r="AJ4" s="561"/>
      <c r="AK4" s="56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ht="16.5" customHeight="1" outlineLevel="2">
      <c r="A5" s="207"/>
      <c r="B5" s="207"/>
      <c r="C5" s="208"/>
      <c r="D5" s="209"/>
      <c r="E5" s="210"/>
      <c r="F5" s="207"/>
      <c r="G5" s="207"/>
      <c r="H5" s="211"/>
      <c r="I5" s="212"/>
      <c r="J5" s="213"/>
      <c r="K5" s="213"/>
      <c r="L5" s="213"/>
      <c r="M5" s="213"/>
      <c r="N5" s="214"/>
      <c r="P5" s="214"/>
      <c r="Q5" s="214"/>
      <c r="R5" s="214"/>
      <c r="S5" s="213"/>
      <c r="T5" s="215"/>
      <c r="U5" s="207"/>
      <c r="V5" s="216"/>
      <c r="W5" s="216"/>
      <c r="X5" s="216"/>
      <c r="Y5" s="213"/>
      <c r="Z5" s="207"/>
      <c r="AA5" s="217"/>
      <c r="AB5" s="218"/>
      <c r="AC5" s="219"/>
      <c r="AD5" s="220"/>
      <c r="AE5" s="220" t="str">
        <f t="shared" ref="AE5:AE28" si="0">CONCATENATE(G5,N5,T5)</f>
        <v/>
      </c>
      <c r="AF5" s="1"/>
      <c r="AG5" s="220"/>
      <c r="AH5" s="220"/>
      <c r="AI5" s="220"/>
      <c r="AJ5" s="221"/>
      <c r="AK5" s="220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ht="16.5" customHeight="1" outlineLevel="2">
      <c r="A6" s="207">
        <f t="shared" ref="A6:A28" si="1">SUBTOTAL(3,$B$6:B6)</f>
        <v>1</v>
      </c>
      <c r="B6" s="207">
        <v>1</v>
      </c>
      <c r="C6" s="208" t="s">
        <v>1074</v>
      </c>
      <c r="D6" s="209">
        <v>10152.737536002001</v>
      </c>
      <c r="E6" s="222" t="s">
        <v>91</v>
      </c>
      <c r="F6" s="213">
        <f t="shared" ref="F6:F7" si="2">IF(M6&gt;0,M6,IF(S6&gt;0,S6,IF(Y6&gt;0,Y6,0)))</f>
        <v>21563.95</v>
      </c>
      <c r="G6" s="207"/>
      <c r="H6" s="223">
        <f t="shared" ref="H6:H28" si="3">VALUE(RIGHT(I6,4))</f>
        <v>2013</v>
      </c>
      <c r="I6" s="224" t="s">
        <v>1075</v>
      </c>
      <c r="J6" s="213">
        <v>21563.95</v>
      </c>
      <c r="K6" s="213">
        <v>0</v>
      </c>
      <c r="L6" s="213">
        <v>21563.95</v>
      </c>
      <c r="M6" s="213">
        <f t="shared" ref="M6:M28" si="4">IF(L6&gt;0,L6,IF(J6&gt;0,J6,0))</f>
        <v>21563.95</v>
      </c>
      <c r="N6" s="225"/>
      <c r="O6" s="226"/>
      <c r="P6" s="225"/>
      <c r="Q6" s="225"/>
      <c r="R6" s="225"/>
      <c r="S6" s="213">
        <f t="shared" ref="S6:S28" si="5">IF(R6&gt;0,R6,IF(P6&gt;0,P6,0))</f>
        <v>0</v>
      </c>
      <c r="T6" s="207" t="s">
        <v>1076</v>
      </c>
      <c r="U6" s="227" t="s">
        <v>93</v>
      </c>
      <c r="V6" s="216">
        <v>10153</v>
      </c>
      <c r="W6" s="216">
        <v>0</v>
      </c>
      <c r="X6" s="216">
        <v>10153</v>
      </c>
      <c r="Y6" s="213">
        <f t="shared" ref="Y6:Y28" si="6">IF(X6&gt;0,X6,IF(V6&gt;0,V6,0))</f>
        <v>10153</v>
      </c>
      <c r="Z6" s="222">
        <v>2020</v>
      </c>
      <c r="AA6" s="228"/>
      <c r="AB6" s="218"/>
      <c r="AC6" s="220" t="s">
        <v>1077</v>
      </c>
      <c r="AD6" s="220"/>
      <c r="AE6" s="220" t="str">
        <f t="shared" si="0"/>
        <v>V</v>
      </c>
      <c r="AF6" s="229" t="s">
        <v>1078</v>
      </c>
      <c r="AG6" s="220" t="str">
        <f t="shared" ref="AG6:AG28" si="7">IF(H6="","3",IF(H6&lt;=2018,"2","1"))</f>
        <v>2</v>
      </c>
      <c r="AH6" s="220" t="str">
        <f t="shared" ref="AH6:AH28" si="8">IF(M6&gt;0,"1","2")</f>
        <v>1</v>
      </c>
      <c r="AI6" s="220">
        <v>2</v>
      </c>
      <c r="AJ6" s="221" t="str">
        <f t="shared" ref="AJ6:AJ28" si="9">IF(S6&gt;0,"1",IF(Y6&gt;0,"1","2"))</f>
        <v>1</v>
      </c>
      <c r="AK6" s="220" t="str">
        <f t="shared" ref="AK6:AK28" si="10">CONCATENATE(AG6,".",AH6,".",AI6,".",AJ6)</f>
        <v>2.1.2.1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6.5" customHeight="1" outlineLevel="2">
      <c r="A7" s="207">
        <f t="shared" si="1"/>
        <v>2</v>
      </c>
      <c r="B7" s="207">
        <v>2</v>
      </c>
      <c r="C7" s="208" t="s">
        <v>1079</v>
      </c>
      <c r="D7" s="209">
        <v>8299.0865860787981</v>
      </c>
      <c r="E7" s="504" t="s">
        <v>91</v>
      </c>
      <c r="F7" s="213">
        <f t="shared" si="2"/>
        <v>6913.93</v>
      </c>
      <c r="G7" s="207"/>
      <c r="H7" s="223">
        <f t="shared" si="3"/>
        <v>2013</v>
      </c>
      <c r="I7" s="224" t="s">
        <v>1080</v>
      </c>
      <c r="J7" s="213"/>
      <c r="K7" s="213"/>
      <c r="L7" s="213"/>
      <c r="M7" s="213">
        <f t="shared" si="4"/>
        <v>0</v>
      </c>
      <c r="N7" s="207"/>
      <c r="O7" s="226"/>
      <c r="P7" s="225"/>
      <c r="Q7" s="225"/>
      <c r="R7" s="225"/>
      <c r="S7" s="213">
        <f t="shared" si="5"/>
        <v>0</v>
      </c>
      <c r="T7" s="216" t="s">
        <v>1076</v>
      </c>
      <c r="U7" s="227" t="s">
        <v>95</v>
      </c>
      <c r="V7" s="216">
        <v>6913.93</v>
      </c>
      <c r="W7" s="216">
        <v>0</v>
      </c>
      <c r="X7" s="216">
        <v>6913.93</v>
      </c>
      <c r="Y7" s="213">
        <f t="shared" si="6"/>
        <v>6913.93</v>
      </c>
      <c r="Z7" s="222">
        <v>2020</v>
      </c>
      <c r="AA7" s="228"/>
      <c r="AB7" s="218"/>
      <c r="AC7" s="220"/>
      <c r="AD7" s="220"/>
      <c r="AE7" s="220" t="str">
        <f t="shared" si="0"/>
        <v>V</v>
      </c>
      <c r="AF7" s="229" t="s">
        <v>1081</v>
      </c>
      <c r="AG7" s="220" t="str">
        <f t="shared" si="7"/>
        <v>2</v>
      </c>
      <c r="AH7" s="220" t="str">
        <f t="shared" si="8"/>
        <v>2</v>
      </c>
      <c r="AI7" s="220" t="s">
        <v>1082</v>
      </c>
      <c r="AJ7" s="221" t="str">
        <f t="shared" si="9"/>
        <v>1</v>
      </c>
      <c r="AK7" s="220" t="str">
        <f t="shared" si="10"/>
        <v>2.2.1b.1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ht="16.5" customHeight="1" outlineLevel="2">
      <c r="A8" s="207">
        <f t="shared" si="1"/>
        <v>3</v>
      </c>
      <c r="B8" s="207">
        <v>3</v>
      </c>
      <c r="C8" s="208" t="s">
        <v>1083</v>
      </c>
      <c r="D8" s="209">
        <v>25690.363000958256</v>
      </c>
      <c r="E8" s="504" t="s">
        <v>91</v>
      </c>
      <c r="F8" s="213">
        <f>X8</f>
        <v>24296.52</v>
      </c>
      <c r="G8" s="207"/>
      <c r="H8" s="223">
        <f t="shared" si="3"/>
        <v>2013</v>
      </c>
      <c r="I8" s="224" t="s">
        <v>1084</v>
      </c>
      <c r="J8" s="213">
        <v>14202.55</v>
      </c>
      <c r="K8" s="213">
        <v>0</v>
      </c>
      <c r="L8" s="213">
        <v>14202.55</v>
      </c>
      <c r="M8" s="213">
        <f t="shared" si="4"/>
        <v>14202.55</v>
      </c>
      <c r="N8" s="207"/>
      <c r="O8" s="505" t="s">
        <v>1085</v>
      </c>
      <c r="P8" s="230">
        <v>33658</v>
      </c>
      <c r="Q8" s="230">
        <v>0</v>
      </c>
      <c r="R8" s="230">
        <v>33658</v>
      </c>
      <c r="S8" s="213">
        <f t="shared" si="5"/>
        <v>33658</v>
      </c>
      <c r="T8" s="216" t="s">
        <v>1076</v>
      </c>
      <c r="U8" s="227" t="s">
        <v>98</v>
      </c>
      <c r="V8" s="216">
        <v>22221.8</v>
      </c>
      <c r="W8" s="216">
        <v>2074.71</v>
      </c>
      <c r="X8" s="216">
        <v>24296.52</v>
      </c>
      <c r="Y8" s="213">
        <f t="shared" si="6"/>
        <v>24296.52</v>
      </c>
      <c r="Z8" s="222">
        <v>2022</v>
      </c>
      <c r="AA8" s="228"/>
      <c r="AB8" s="218"/>
      <c r="AC8" s="220"/>
      <c r="AD8" s="220"/>
      <c r="AE8" s="220" t="str">
        <f t="shared" si="0"/>
        <v>V</v>
      </c>
      <c r="AF8" s="229" t="s">
        <v>1086</v>
      </c>
      <c r="AG8" s="220" t="str">
        <f t="shared" si="7"/>
        <v>2</v>
      </c>
      <c r="AH8" s="220" t="str">
        <f t="shared" si="8"/>
        <v>1</v>
      </c>
      <c r="AI8" s="220">
        <v>2</v>
      </c>
      <c r="AJ8" s="221" t="str">
        <f t="shared" si="9"/>
        <v>1</v>
      </c>
      <c r="AK8" s="220" t="str">
        <f t="shared" si="10"/>
        <v>2.1.2.1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 ht="16.5" customHeight="1" outlineLevel="2">
      <c r="A9" s="207">
        <f t="shared" si="1"/>
        <v>4</v>
      </c>
      <c r="B9" s="207">
        <v>4</v>
      </c>
      <c r="C9" s="208" t="s">
        <v>1087</v>
      </c>
      <c r="D9" s="209">
        <v>8943.5345531972762</v>
      </c>
      <c r="E9" s="504" t="s">
        <v>104</v>
      </c>
      <c r="F9" s="213">
        <f t="shared" ref="F9:F14" si="11">IF(M9&gt;0,M9,IF(S9&gt;0,S9,IF(Y9&gt;0,Y9,0)))</f>
        <v>3890.83</v>
      </c>
      <c r="G9" s="207"/>
      <c r="H9" s="223">
        <f t="shared" si="3"/>
        <v>2014</v>
      </c>
      <c r="I9" s="224" t="s">
        <v>1088</v>
      </c>
      <c r="J9" s="213">
        <v>3890.83</v>
      </c>
      <c r="K9" s="213">
        <v>0</v>
      </c>
      <c r="L9" s="213">
        <v>3890.83</v>
      </c>
      <c r="M9" s="213">
        <f t="shared" si="4"/>
        <v>3890.83</v>
      </c>
      <c r="N9" s="207"/>
      <c r="O9" s="505" t="s">
        <v>1089</v>
      </c>
      <c r="P9" s="230">
        <v>8943</v>
      </c>
      <c r="Q9" s="230">
        <v>1355</v>
      </c>
      <c r="R9" s="230"/>
      <c r="S9" s="213">
        <f t="shared" si="5"/>
        <v>8943</v>
      </c>
      <c r="T9" s="216"/>
      <c r="U9" s="207"/>
      <c r="V9" s="216"/>
      <c r="W9" s="216"/>
      <c r="X9" s="216"/>
      <c r="Y9" s="213">
        <f t="shared" si="6"/>
        <v>0</v>
      </c>
      <c r="Z9" s="222">
        <v>2023</v>
      </c>
      <c r="AA9" s="228" t="s">
        <v>1090</v>
      </c>
      <c r="AB9" s="218"/>
      <c r="AC9" s="220"/>
      <c r="AD9" s="220"/>
      <c r="AE9" s="220" t="str">
        <f t="shared" si="0"/>
        <v/>
      </c>
      <c r="AF9" s="229" t="s">
        <v>1086</v>
      </c>
      <c r="AG9" s="220" t="str">
        <f t="shared" si="7"/>
        <v>2</v>
      </c>
      <c r="AH9" s="220" t="str">
        <f t="shared" si="8"/>
        <v>1</v>
      </c>
      <c r="AI9" s="220">
        <v>2</v>
      </c>
      <c r="AJ9" s="221" t="str">
        <f t="shared" si="9"/>
        <v>1</v>
      </c>
      <c r="AK9" s="220" t="str">
        <f t="shared" si="10"/>
        <v>2.1.2.1</v>
      </c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 ht="16.5" customHeight="1" outlineLevel="2">
      <c r="A10" s="207">
        <f t="shared" si="1"/>
        <v>5</v>
      </c>
      <c r="B10" s="207">
        <v>5</v>
      </c>
      <c r="C10" s="208" t="s">
        <v>1091</v>
      </c>
      <c r="D10" s="209">
        <v>7460.8277971540565</v>
      </c>
      <c r="E10" s="504" t="s">
        <v>91</v>
      </c>
      <c r="F10" s="213">
        <f t="shared" si="11"/>
        <v>6310.87</v>
      </c>
      <c r="G10" s="207"/>
      <c r="H10" s="223">
        <f t="shared" si="3"/>
        <v>2016</v>
      </c>
      <c r="I10" s="224" t="s">
        <v>1092</v>
      </c>
      <c r="J10" s="213"/>
      <c r="K10" s="213"/>
      <c r="L10" s="213"/>
      <c r="M10" s="213">
        <f t="shared" si="4"/>
        <v>0</v>
      </c>
      <c r="N10" s="207"/>
      <c r="O10" s="231"/>
      <c r="P10" s="230"/>
      <c r="Q10" s="230"/>
      <c r="R10" s="230"/>
      <c r="S10" s="213">
        <f t="shared" si="5"/>
        <v>0</v>
      </c>
      <c r="T10" s="216" t="s">
        <v>1076</v>
      </c>
      <c r="U10" s="227" t="s">
        <v>102</v>
      </c>
      <c r="V10" s="216">
        <v>6310.87</v>
      </c>
      <c r="W10" s="216"/>
      <c r="X10" s="216"/>
      <c r="Y10" s="213">
        <f t="shared" si="6"/>
        <v>6310.87</v>
      </c>
      <c r="Z10" s="222">
        <v>2023</v>
      </c>
      <c r="AA10" s="228" t="s">
        <v>1090</v>
      </c>
      <c r="AB10" s="218"/>
      <c r="AC10" s="220" t="s">
        <v>1077</v>
      </c>
      <c r="AD10" s="220"/>
      <c r="AE10" s="220" t="str">
        <f t="shared" si="0"/>
        <v>V</v>
      </c>
      <c r="AF10" s="229" t="s">
        <v>1093</v>
      </c>
      <c r="AG10" s="220" t="str">
        <f t="shared" si="7"/>
        <v>2</v>
      </c>
      <c r="AH10" s="220" t="str">
        <f t="shared" si="8"/>
        <v>2</v>
      </c>
      <c r="AI10" s="220" t="s">
        <v>1082</v>
      </c>
      <c r="AJ10" s="221" t="str">
        <f t="shared" si="9"/>
        <v>1</v>
      </c>
      <c r="AK10" s="220" t="str">
        <f t="shared" si="10"/>
        <v>2.2.1b.1</v>
      </c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 ht="16.5" customHeight="1" outlineLevel="2">
      <c r="A11" s="207">
        <f t="shared" si="1"/>
        <v>6</v>
      </c>
      <c r="B11" s="207">
        <v>6</v>
      </c>
      <c r="C11" s="208" t="s">
        <v>1094</v>
      </c>
      <c r="D11" s="209">
        <v>1086.8186031881417</v>
      </c>
      <c r="E11" s="504" t="s">
        <v>104</v>
      </c>
      <c r="F11" s="213">
        <f t="shared" si="11"/>
        <v>402.54</v>
      </c>
      <c r="G11" s="207"/>
      <c r="H11" s="223">
        <f t="shared" si="3"/>
        <v>2013</v>
      </c>
      <c r="I11" s="224" t="s">
        <v>1095</v>
      </c>
      <c r="J11" s="213">
        <v>402.54</v>
      </c>
      <c r="K11" s="213">
        <v>0</v>
      </c>
      <c r="L11" s="213">
        <v>402.54</v>
      </c>
      <c r="M11" s="213">
        <f t="shared" si="4"/>
        <v>402.54</v>
      </c>
      <c r="N11" s="207"/>
      <c r="O11" s="505" t="s">
        <v>1096</v>
      </c>
      <c r="P11" s="230">
        <v>1087</v>
      </c>
      <c r="Q11" s="230">
        <v>0</v>
      </c>
      <c r="R11" s="230">
        <v>1087</v>
      </c>
      <c r="S11" s="213">
        <f t="shared" si="5"/>
        <v>1087</v>
      </c>
      <c r="T11" s="216"/>
      <c r="U11" s="207" t="s">
        <v>105</v>
      </c>
      <c r="V11" s="216">
        <v>1087</v>
      </c>
      <c r="W11" s="216">
        <v>0</v>
      </c>
      <c r="X11" s="216">
        <v>1087</v>
      </c>
      <c r="Y11" s="213">
        <f t="shared" si="6"/>
        <v>1087</v>
      </c>
      <c r="Z11" s="222" t="s">
        <v>1097</v>
      </c>
      <c r="AA11" s="228"/>
      <c r="AB11" s="218"/>
      <c r="AC11" s="220" t="s">
        <v>1098</v>
      </c>
      <c r="AD11" s="220"/>
      <c r="AE11" s="220" t="str">
        <f t="shared" si="0"/>
        <v/>
      </c>
      <c r="AF11" s="229" t="s">
        <v>1099</v>
      </c>
      <c r="AG11" s="220" t="str">
        <f t="shared" si="7"/>
        <v>2</v>
      </c>
      <c r="AH11" s="220" t="str">
        <f t="shared" si="8"/>
        <v>1</v>
      </c>
      <c r="AI11" s="220">
        <v>2</v>
      </c>
      <c r="AJ11" s="221" t="str">
        <f t="shared" si="9"/>
        <v>1</v>
      </c>
      <c r="AK11" s="220" t="str">
        <f t="shared" si="10"/>
        <v>2.1.2.1</v>
      </c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 ht="16.5" customHeight="1" outlineLevel="2">
      <c r="A12" s="207">
        <f t="shared" si="1"/>
        <v>7</v>
      </c>
      <c r="B12" s="207">
        <v>7</v>
      </c>
      <c r="C12" s="208" t="s">
        <v>1100</v>
      </c>
      <c r="D12" s="209">
        <v>9300.088891497624</v>
      </c>
      <c r="E12" s="504" t="s">
        <v>104</v>
      </c>
      <c r="F12" s="213">
        <f t="shared" si="11"/>
        <v>4508.17</v>
      </c>
      <c r="G12" s="207"/>
      <c r="H12" s="223">
        <f t="shared" si="3"/>
        <v>2013</v>
      </c>
      <c r="I12" s="224" t="s">
        <v>1101</v>
      </c>
      <c r="J12" s="213">
        <v>4508.17</v>
      </c>
      <c r="K12" s="213">
        <v>0</v>
      </c>
      <c r="L12" s="213">
        <v>4508.17</v>
      </c>
      <c r="M12" s="213">
        <f t="shared" si="4"/>
        <v>4508.17</v>
      </c>
      <c r="N12" s="207"/>
      <c r="O12" s="231"/>
      <c r="P12" s="230">
        <v>9300.08</v>
      </c>
      <c r="Q12" s="230">
        <v>0</v>
      </c>
      <c r="R12" s="230">
        <v>9300.08</v>
      </c>
      <c r="S12" s="213">
        <f t="shared" si="5"/>
        <v>9300.08</v>
      </c>
      <c r="T12" s="216"/>
      <c r="U12" s="506" t="s">
        <v>1102</v>
      </c>
      <c r="V12" s="216"/>
      <c r="W12" s="216"/>
      <c r="X12" s="216"/>
      <c r="Y12" s="213">
        <f t="shared" si="6"/>
        <v>0</v>
      </c>
      <c r="Z12" s="222">
        <v>2023</v>
      </c>
      <c r="AA12" s="228" t="s">
        <v>1090</v>
      </c>
      <c r="AB12" s="218"/>
      <c r="AC12" s="220"/>
      <c r="AD12" s="220"/>
      <c r="AE12" s="220" t="str">
        <f t="shared" si="0"/>
        <v/>
      </c>
      <c r="AF12" s="229"/>
      <c r="AG12" s="220" t="str">
        <f t="shared" si="7"/>
        <v>2</v>
      </c>
      <c r="AH12" s="220" t="str">
        <f t="shared" si="8"/>
        <v>1</v>
      </c>
      <c r="AI12" s="220">
        <v>2</v>
      </c>
      <c r="AJ12" s="221" t="str">
        <f t="shared" si="9"/>
        <v>1</v>
      </c>
      <c r="AK12" s="220" t="str">
        <f t="shared" si="10"/>
        <v>2.1.2.1</v>
      </c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 ht="16.5" customHeight="1" outlineLevel="2">
      <c r="A13" s="207">
        <f t="shared" si="1"/>
        <v>8</v>
      </c>
      <c r="B13" s="207">
        <v>8</v>
      </c>
      <c r="C13" s="208" t="s">
        <v>1103</v>
      </c>
      <c r="D13" s="209">
        <v>4105.8639298608623</v>
      </c>
      <c r="E13" s="504" t="s">
        <v>104</v>
      </c>
      <c r="F13" s="213">
        <f t="shared" si="11"/>
        <v>3847.26</v>
      </c>
      <c r="G13" s="207"/>
      <c r="H13" s="223">
        <f t="shared" si="3"/>
        <v>2016</v>
      </c>
      <c r="I13" s="224" t="s">
        <v>1104</v>
      </c>
      <c r="J13" s="213">
        <v>3847.26</v>
      </c>
      <c r="K13" s="213">
        <v>0</v>
      </c>
      <c r="L13" s="213">
        <v>3847.26</v>
      </c>
      <c r="M13" s="213">
        <f t="shared" si="4"/>
        <v>3847.26</v>
      </c>
      <c r="N13" s="207"/>
      <c r="O13" s="231"/>
      <c r="P13" s="230"/>
      <c r="Q13" s="230"/>
      <c r="R13" s="230"/>
      <c r="S13" s="213">
        <f t="shared" si="5"/>
        <v>0</v>
      </c>
      <c r="T13" s="216"/>
      <c r="U13" s="207"/>
      <c r="V13" s="216"/>
      <c r="W13" s="216"/>
      <c r="X13" s="216"/>
      <c r="Y13" s="213">
        <f t="shared" si="6"/>
        <v>0</v>
      </c>
      <c r="Z13" s="222" t="s">
        <v>1097</v>
      </c>
      <c r="AA13" s="228"/>
      <c r="AB13" s="218"/>
      <c r="AC13" s="220"/>
      <c r="AD13" s="220"/>
      <c r="AE13" s="220" t="str">
        <f t="shared" si="0"/>
        <v/>
      </c>
      <c r="AF13" s="229"/>
      <c r="AG13" s="220" t="str">
        <f t="shared" si="7"/>
        <v>2</v>
      </c>
      <c r="AH13" s="220" t="str">
        <f t="shared" si="8"/>
        <v>1</v>
      </c>
      <c r="AI13" s="220">
        <v>2</v>
      </c>
      <c r="AJ13" s="221" t="str">
        <f t="shared" si="9"/>
        <v>2</v>
      </c>
      <c r="AK13" s="220" t="str">
        <f t="shared" si="10"/>
        <v>2.1.2.2</v>
      </c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 ht="16.5" customHeight="1" outlineLevel="2">
      <c r="A14" s="207">
        <f t="shared" si="1"/>
        <v>9</v>
      </c>
      <c r="B14" s="207">
        <v>9</v>
      </c>
      <c r="C14" s="208" t="s">
        <v>1105</v>
      </c>
      <c r="D14" s="209">
        <v>8779.5534830513752</v>
      </c>
      <c r="E14" s="504" t="s">
        <v>123</v>
      </c>
      <c r="F14" s="213">
        <f t="shared" si="11"/>
        <v>0</v>
      </c>
      <c r="G14" s="207"/>
      <c r="H14" s="223">
        <f t="shared" si="3"/>
        <v>2013</v>
      </c>
      <c r="I14" s="224" t="s">
        <v>1075</v>
      </c>
      <c r="J14" s="213"/>
      <c r="K14" s="213"/>
      <c r="L14" s="213"/>
      <c r="M14" s="213">
        <f t="shared" si="4"/>
        <v>0</v>
      </c>
      <c r="N14" s="207"/>
      <c r="O14" s="231"/>
      <c r="P14" s="230"/>
      <c r="Q14" s="230"/>
      <c r="R14" s="230"/>
      <c r="S14" s="213">
        <f t="shared" si="5"/>
        <v>0</v>
      </c>
      <c r="T14" s="216"/>
      <c r="U14" s="207"/>
      <c r="V14" s="216"/>
      <c r="W14" s="216"/>
      <c r="X14" s="216"/>
      <c r="Y14" s="213">
        <f t="shared" si="6"/>
        <v>0</v>
      </c>
      <c r="Z14" s="222">
        <v>2023</v>
      </c>
      <c r="AA14" s="228" t="s">
        <v>1090</v>
      </c>
      <c r="AB14" s="218"/>
      <c r="AC14" s="220"/>
      <c r="AD14" s="220"/>
      <c r="AE14" s="220" t="str">
        <f t="shared" si="0"/>
        <v/>
      </c>
      <c r="AG14" s="220" t="str">
        <f t="shared" si="7"/>
        <v>2</v>
      </c>
      <c r="AH14" s="220" t="str">
        <f t="shared" si="8"/>
        <v>2</v>
      </c>
      <c r="AI14" s="220">
        <v>2</v>
      </c>
      <c r="AJ14" s="221" t="str">
        <f t="shared" si="9"/>
        <v>2</v>
      </c>
      <c r="AK14" s="220" t="str">
        <f t="shared" si="10"/>
        <v>2.2.2.2</v>
      </c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ht="16.5" customHeight="1" outlineLevel="2">
      <c r="A15" s="207">
        <f t="shared" si="1"/>
        <v>10</v>
      </c>
      <c r="B15" s="207">
        <v>10</v>
      </c>
      <c r="C15" s="208" t="s">
        <v>1106</v>
      </c>
      <c r="D15" s="209">
        <v>19509.322020917971</v>
      </c>
      <c r="E15" s="504" t="s">
        <v>91</v>
      </c>
      <c r="F15" s="213">
        <f t="shared" ref="F15:F16" si="12">Y15</f>
        <v>24023.49</v>
      </c>
      <c r="G15" s="207"/>
      <c r="H15" s="223">
        <f t="shared" si="3"/>
        <v>2013</v>
      </c>
      <c r="I15" s="224" t="s">
        <v>1107</v>
      </c>
      <c r="J15" s="213">
        <v>14853.28</v>
      </c>
      <c r="K15" s="213">
        <v>0</v>
      </c>
      <c r="L15" s="213">
        <v>14853.28</v>
      </c>
      <c r="M15" s="213">
        <f t="shared" si="4"/>
        <v>14853.28</v>
      </c>
      <c r="N15" s="207"/>
      <c r="O15" s="231"/>
      <c r="P15" s="230"/>
      <c r="Q15" s="230"/>
      <c r="R15" s="230"/>
      <c r="S15" s="213">
        <f t="shared" si="5"/>
        <v>0</v>
      </c>
      <c r="T15" s="216" t="s">
        <v>1076</v>
      </c>
      <c r="U15" s="227" t="s">
        <v>1108</v>
      </c>
      <c r="V15" s="232">
        <v>20196.150000000001</v>
      </c>
      <c r="W15" s="233">
        <v>3867.84</v>
      </c>
      <c r="X15" s="216">
        <v>24023.49</v>
      </c>
      <c r="Y15" s="213">
        <f t="shared" si="6"/>
        <v>24023.49</v>
      </c>
      <c r="Z15" s="222">
        <v>2022</v>
      </c>
      <c r="AA15" s="228"/>
      <c r="AB15" s="218"/>
      <c r="AC15" s="220" t="s">
        <v>1077</v>
      </c>
      <c r="AD15" s="220"/>
      <c r="AE15" s="220" t="str">
        <f t="shared" si="0"/>
        <v>V</v>
      </c>
      <c r="AF15" s="229"/>
      <c r="AG15" s="220" t="str">
        <f t="shared" si="7"/>
        <v>2</v>
      </c>
      <c r="AH15" s="220" t="str">
        <f t="shared" si="8"/>
        <v>1</v>
      </c>
      <c r="AI15" s="220">
        <v>2</v>
      </c>
      <c r="AJ15" s="221" t="str">
        <f t="shared" si="9"/>
        <v>1</v>
      </c>
      <c r="AK15" s="220" t="str">
        <f t="shared" si="10"/>
        <v>2.1.2.1</v>
      </c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 ht="16.5" customHeight="1" outlineLevel="2">
      <c r="A16" s="207">
        <f t="shared" si="1"/>
        <v>11</v>
      </c>
      <c r="B16" s="207">
        <v>11</v>
      </c>
      <c r="C16" s="208" t="s">
        <v>1109</v>
      </c>
      <c r="D16" s="209">
        <v>38413.041647914986</v>
      </c>
      <c r="E16" s="504" t="s">
        <v>91</v>
      </c>
      <c r="F16" s="213">
        <f t="shared" si="12"/>
        <v>39355.47</v>
      </c>
      <c r="G16" s="207"/>
      <c r="H16" s="223">
        <f t="shared" si="3"/>
        <v>2013</v>
      </c>
      <c r="I16" s="224" t="s">
        <v>1110</v>
      </c>
      <c r="J16" s="213">
        <v>36539</v>
      </c>
      <c r="K16" s="213">
        <v>0</v>
      </c>
      <c r="L16" s="213">
        <v>36539</v>
      </c>
      <c r="M16" s="213">
        <f t="shared" si="4"/>
        <v>36539</v>
      </c>
      <c r="N16" s="207"/>
      <c r="O16" s="231"/>
      <c r="P16" s="230"/>
      <c r="Q16" s="230"/>
      <c r="R16" s="230"/>
      <c r="S16" s="213">
        <f t="shared" si="5"/>
        <v>0</v>
      </c>
      <c r="T16" s="216" t="s">
        <v>1076</v>
      </c>
      <c r="U16" s="234" t="s">
        <v>114</v>
      </c>
      <c r="V16" s="232">
        <f>38858.92+496.55</f>
        <v>39355.47</v>
      </c>
      <c r="W16" s="233">
        <v>1237.3699999999999</v>
      </c>
      <c r="X16" s="216"/>
      <c r="Y16" s="213">
        <f t="shared" si="6"/>
        <v>39355.47</v>
      </c>
      <c r="Z16" s="222">
        <v>2022</v>
      </c>
      <c r="AA16" s="228"/>
      <c r="AB16" s="218"/>
      <c r="AC16" s="220"/>
      <c r="AD16" s="220"/>
      <c r="AE16" s="220" t="str">
        <f t="shared" si="0"/>
        <v>V</v>
      </c>
      <c r="AF16" s="229"/>
      <c r="AG16" s="220" t="str">
        <f t="shared" si="7"/>
        <v>2</v>
      </c>
      <c r="AH16" s="220" t="str">
        <f t="shared" si="8"/>
        <v>1</v>
      </c>
      <c r="AI16" s="220">
        <v>2</v>
      </c>
      <c r="AJ16" s="221" t="str">
        <f t="shared" si="9"/>
        <v>1</v>
      </c>
      <c r="AK16" s="220" t="str">
        <f t="shared" si="10"/>
        <v>2.1.2.1</v>
      </c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ht="16.5" customHeight="1" outlineLevel="2">
      <c r="A17" s="207">
        <f t="shared" si="1"/>
        <v>12</v>
      </c>
      <c r="B17" s="207">
        <v>12</v>
      </c>
      <c r="C17" s="208" t="s">
        <v>1111</v>
      </c>
      <c r="D17" s="209">
        <v>940.75715469039005</v>
      </c>
      <c r="E17" s="504" t="s">
        <v>104</v>
      </c>
      <c r="F17" s="213">
        <f t="shared" ref="F17:F25" si="13">IF(M17&gt;0,M17,IF(S17&gt;0,S17,IF(Y17&gt;0,Y17,0)))</f>
        <v>3197.5</v>
      </c>
      <c r="G17" s="207"/>
      <c r="H17" s="223">
        <f t="shared" si="3"/>
        <v>2013</v>
      </c>
      <c r="I17" s="224" t="s">
        <v>117</v>
      </c>
      <c r="J17" s="213">
        <v>3197.5</v>
      </c>
      <c r="K17" s="213">
        <v>0</v>
      </c>
      <c r="L17" s="213">
        <v>3197.5</v>
      </c>
      <c r="M17" s="213">
        <f t="shared" si="4"/>
        <v>3197.5</v>
      </c>
      <c r="N17" s="207"/>
      <c r="O17" s="231"/>
      <c r="P17" s="230"/>
      <c r="Q17" s="230"/>
      <c r="R17" s="230"/>
      <c r="S17" s="213">
        <f t="shared" si="5"/>
        <v>0</v>
      </c>
      <c r="T17" s="216"/>
      <c r="U17" s="207"/>
      <c r="V17" s="216"/>
      <c r="W17" s="216"/>
      <c r="X17" s="216"/>
      <c r="Y17" s="213">
        <f t="shared" si="6"/>
        <v>0</v>
      </c>
      <c r="Z17" s="222" t="s">
        <v>1097</v>
      </c>
      <c r="AA17" s="228"/>
      <c r="AB17" s="218"/>
      <c r="AC17" s="220"/>
      <c r="AD17" s="220" t="s">
        <v>1112</v>
      </c>
      <c r="AE17" s="220" t="str">
        <f t="shared" si="0"/>
        <v/>
      </c>
      <c r="AF17" s="229"/>
      <c r="AG17" s="220" t="str">
        <f t="shared" si="7"/>
        <v>2</v>
      </c>
      <c r="AH17" s="220" t="str">
        <f t="shared" si="8"/>
        <v>1</v>
      </c>
      <c r="AI17" s="220">
        <v>2</v>
      </c>
      <c r="AJ17" s="221" t="str">
        <f t="shared" si="9"/>
        <v>2</v>
      </c>
      <c r="AK17" s="220" t="str">
        <f t="shared" si="10"/>
        <v>2.1.2.2</v>
      </c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 ht="16.5" customHeight="1" outlineLevel="2">
      <c r="A18" s="207">
        <f t="shared" si="1"/>
        <v>13</v>
      </c>
      <c r="B18" s="207">
        <v>13</v>
      </c>
      <c r="C18" s="208" t="s">
        <v>1113</v>
      </c>
      <c r="D18" s="209">
        <v>14929.554070471704</v>
      </c>
      <c r="E18" s="504" t="s">
        <v>91</v>
      </c>
      <c r="F18" s="213">
        <f t="shared" si="13"/>
        <v>15113.970000000001</v>
      </c>
      <c r="G18" s="207"/>
      <c r="H18" s="223">
        <f t="shared" si="3"/>
        <v>2013</v>
      </c>
      <c r="I18" s="224" t="s">
        <v>1114</v>
      </c>
      <c r="J18" s="213"/>
      <c r="K18" s="213"/>
      <c r="L18" s="213"/>
      <c r="M18" s="213">
        <f t="shared" si="4"/>
        <v>0</v>
      </c>
      <c r="N18" s="207"/>
      <c r="O18" s="231"/>
      <c r="P18" s="230"/>
      <c r="Q18" s="230"/>
      <c r="R18" s="230"/>
      <c r="S18" s="213">
        <f t="shared" si="5"/>
        <v>0</v>
      </c>
      <c r="T18" s="216" t="s">
        <v>1076</v>
      </c>
      <c r="U18" s="507" t="s">
        <v>1115</v>
      </c>
      <c r="V18" s="232">
        <f>15006.7+107.27</f>
        <v>15113.970000000001</v>
      </c>
      <c r="W18" s="233">
        <v>2187.75</v>
      </c>
      <c r="X18" s="216"/>
      <c r="Y18" s="213">
        <f t="shared" si="6"/>
        <v>15113.970000000001</v>
      </c>
      <c r="Z18" s="222">
        <v>2022</v>
      </c>
      <c r="AA18" s="228"/>
      <c r="AB18" s="218"/>
      <c r="AC18" s="220"/>
      <c r="AD18" s="220"/>
      <c r="AE18" s="220" t="str">
        <f t="shared" si="0"/>
        <v>V</v>
      </c>
      <c r="AF18" s="229"/>
      <c r="AG18" s="220" t="str">
        <f t="shared" si="7"/>
        <v>2</v>
      </c>
      <c r="AH18" s="220" t="str">
        <f t="shared" si="8"/>
        <v>2</v>
      </c>
      <c r="AI18" s="220" t="s">
        <v>1082</v>
      </c>
      <c r="AJ18" s="221" t="str">
        <f t="shared" si="9"/>
        <v>1</v>
      </c>
      <c r="AK18" s="220" t="str">
        <f t="shared" si="10"/>
        <v>2.2.1b.1</v>
      </c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ht="16.5" customHeight="1" outlineLevel="2">
      <c r="A19" s="207">
        <f t="shared" si="1"/>
        <v>14</v>
      </c>
      <c r="B19" s="207">
        <v>14</v>
      </c>
      <c r="C19" s="208" t="s">
        <v>1116</v>
      </c>
      <c r="D19" s="209">
        <v>4855.1431793968031</v>
      </c>
      <c r="E19" s="504" t="s">
        <v>104</v>
      </c>
      <c r="F19" s="213">
        <f t="shared" si="13"/>
        <v>4439</v>
      </c>
      <c r="G19" s="207"/>
      <c r="H19" s="223">
        <f t="shared" si="3"/>
        <v>2013</v>
      </c>
      <c r="I19" s="224" t="s">
        <v>1117</v>
      </c>
      <c r="J19" s="213"/>
      <c r="K19" s="213"/>
      <c r="L19" s="213"/>
      <c r="M19" s="213">
        <f t="shared" si="4"/>
        <v>0</v>
      </c>
      <c r="N19" s="207"/>
      <c r="O19" s="226"/>
      <c r="P19" s="225">
        <v>4439</v>
      </c>
      <c r="Q19" s="225"/>
      <c r="R19" s="225"/>
      <c r="S19" s="213">
        <f t="shared" si="5"/>
        <v>4439</v>
      </c>
      <c r="T19" s="216"/>
      <c r="U19" s="227" t="s">
        <v>121</v>
      </c>
      <c r="V19" s="216">
        <v>4438.5</v>
      </c>
      <c r="W19" s="216">
        <v>0</v>
      </c>
      <c r="X19" s="216">
        <v>4438.5</v>
      </c>
      <c r="Y19" s="213">
        <f t="shared" si="6"/>
        <v>4438.5</v>
      </c>
      <c r="Z19" s="222" t="s">
        <v>1097</v>
      </c>
      <c r="AA19" s="228"/>
      <c r="AB19" s="218"/>
      <c r="AC19" s="220" t="s">
        <v>1098</v>
      </c>
      <c r="AD19" s="220"/>
      <c r="AE19" s="220" t="str">
        <f t="shared" si="0"/>
        <v/>
      </c>
      <c r="AF19" s="229"/>
      <c r="AG19" s="220" t="str">
        <f t="shared" si="7"/>
        <v>2</v>
      </c>
      <c r="AH19" s="220" t="str">
        <f t="shared" si="8"/>
        <v>2</v>
      </c>
      <c r="AI19" s="220">
        <v>2</v>
      </c>
      <c r="AJ19" s="221" t="str">
        <f t="shared" si="9"/>
        <v>1</v>
      </c>
      <c r="AK19" s="220" t="str">
        <f t="shared" si="10"/>
        <v>2.2.2.1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 ht="16.5" customHeight="1" outlineLevel="2">
      <c r="A20" s="207">
        <f t="shared" si="1"/>
        <v>15</v>
      </c>
      <c r="B20" s="207">
        <v>15</v>
      </c>
      <c r="C20" s="208" t="s">
        <v>1118</v>
      </c>
      <c r="D20" s="209">
        <v>58.377182690578763</v>
      </c>
      <c r="E20" s="504" t="s">
        <v>123</v>
      </c>
      <c r="F20" s="213">
        <f t="shared" si="13"/>
        <v>0</v>
      </c>
      <c r="G20" s="207"/>
      <c r="H20" s="223">
        <f t="shared" si="3"/>
        <v>2018</v>
      </c>
      <c r="I20" s="224" t="s">
        <v>124</v>
      </c>
      <c r="J20" s="213"/>
      <c r="K20" s="213"/>
      <c r="L20" s="213"/>
      <c r="M20" s="213">
        <f t="shared" si="4"/>
        <v>0</v>
      </c>
      <c r="N20" s="207"/>
      <c r="O20" s="231"/>
      <c r="P20" s="230"/>
      <c r="Q20" s="230"/>
      <c r="R20" s="230"/>
      <c r="S20" s="213">
        <f t="shared" si="5"/>
        <v>0</v>
      </c>
      <c r="T20" s="216"/>
      <c r="U20" s="207"/>
      <c r="V20" s="216"/>
      <c r="W20" s="216"/>
      <c r="X20" s="216"/>
      <c r="Y20" s="213">
        <f t="shared" si="6"/>
        <v>0</v>
      </c>
      <c r="Z20" s="222" t="s">
        <v>1097</v>
      </c>
      <c r="AA20" s="228"/>
      <c r="AB20" s="218"/>
      <c r="AC20" s="220"/>
      <c r="AD20" s="220"/>
      <c r="AE20" s="220" t="str">
        <f t="shared" si="0"/>
        <v/>
      </c>
      <c r="AF20" s="229"/>
      <c r="AG20" s="220" t="str">
        <f t="shared" si="7"/>
        <v>2</v>
      </c>
      <c r="AH20" s="220" t="str">
        <f t="shared" si="8"/>
        <v>2</v>
      </c>
      <c r="AI20" s="220">
        <v>2</v>
      </c>
      <c r="AJ20" s="221" t="str">
        <f t="shared" si="9"/>
        <v>2</v>
      </c>
      <c r="AK20" s="220" t="str">
        <f t="shared" si="10"/>
        <v>2.2.2.2</v>
      </c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 ht="16.5" customHeight="1" outlineLevel="2">
      <c r="A21" s="207">
        <f t="shared" si="1"/>
        <v>16</v>
      </c>
      <c r="B21" s="207">
        <v>16</v>
      </c>
      <c r="C21" s="208" t="s">
        <v>1119</v>
      </c>
      <c r="D21" s="209">
        <v>1083.8856710725488</v>
      </c>
      <c r="E21" s="504" t="s">
        <v>91</v>
      </c>
      <c r="F21" s="213">
        <f t="shared" si="13"/>
        <v>990.58</v>
      </c>
      <c r="G21" s="207"/>
      <c r="H21" s="223">
        <f t="shared" si="3"/>
        <v>2013</v>
      </c>
      <c r="I21" s="224" t="s">
        <v>1120</v>
      </c>
      <c r="J21" s="213"/>
      <c r="K21" s="213"/>
      <c r="L21" s="213"/>
      <c r="M21" s="213">
        <f t="shared" si="4"/>
        <v>0</v>
      </c>
      <c r="N21" s="207" t="s">
        <v>1076</v>
      </c>
      <c r="O21" s="505" t="s">
        <v>127</v>
      </c>
      <c r="P21" s="230">
        <v>990.58</v>
      </c>
      <c r="Q21" s="230">
        <v>0</v>
      </c>
      <c r="R21" s="230">
        <v>990.58</v>
      </c>
      <c r="S21" s="213">
        <f t="shared" si="5"/>
        <v>990.58</v>
      </c>
      <c r="T21" s="216"/>
      <c r="U21" s="207"/>
      <c r="V21" s="216"/>
      <c r="W21" s="216"/>
      <c r="X21" s="216"/>
      <c r="Y21" s="213">
        <f t="shared" si="6"/>
        <v>0</v>
      </c>
      <c r="Z21" s="222" t="s">
        <v>1097</v>
      </c>
      <c r="AA21" s="228"/>
      <c r="AB21" s="218"/>
      <c r="AC21" s="220" t="s">
        <v>1077</v>
      </c>
      <c r="AD21" s="220"/>
      <c r="AE21" s="220" t="str">
        <f t="shared" si="0"/>
        <v>V</v>
      </c>
      <c r="AF21" s="229"/>
      <c r="AG21" s="220" t="str">
        <f t="shared" si="7"/>
        <v>2</v>
      </c>
      <c r="AH21" s="220" t="str">
        <f t="shared" si="8"/>
        <v>2</v>
      </c>
      <c r="AI21" s="220">
        <v>2</v>
      </c>
      <c r="AJ21" s="221" t="str">
        <f t="shared" si="9"/>
        <v>1</v>
      </c>
      <c r="AK21" s="220" t="str">
        <f t="shared" si="10"/>
        <v>2.2.2.1</v>
      </c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 ht="16.5" customHeight="1" outlineLevel="2">
      <c r="A22" s="207">
        <f t="shared" si="1"/>
        <v>17</v>
      </c>
      <c r="B22" s="207">
        <v>17</v>
      </c>
      <c r="C22" s="208" t="s">
        <v>1121</v>
      </c>
      <c r="D22" s="209">
        <v>1068.482504323114</v>
      </c>
      <c r="E22" s="504" t="s">
        <v>123</v>
      </c>
      <c r="F22" s="213">
        <f t="shared" si="13"/>
        <v>0</v>
      </c>
      <c r="G22" s="207"/>
      <c r="H22" s="223">
        <f t="shared" si="3"/>
        <v>2014</v>
      </c>
      <c r="I22" s="224" t="s">
        <v>1122</v>
      </c>
      <c r="J22" s="213"/>
      <c r="K22" s="213"/>
      <c r="L22" s="213"/>
      <c r="M22" s="213">
        <f t="shared" si="4"/>
        <v>0</v>
      </c>
      <c r="N22" s="207"/>
      <c r="O22" s="508" t="s">
        <v>1123</v>
      </c>
      <c r="P22" s="230"/>
      <c r="Q22" s="230"/>
      <c r="R22" s="230"/>
      <c r="S22" s="213">
        <f t="shared" si="5"/>
        <v>0</v>
      </c>
      <c r="T22" s="216"/>
      <c r="U22" s="207"/>
      <c r="V22" s="216"/>
      <c r="W22" s="216"/>
      <c r="X22" s="216"/>
      <c r="Y22" s="213">
        <f t="shared" si="6"/>
        <v>0</v>
      </c>
      <c r="Z22" s="222" t="s">
        <v>1097</v>
      </c>
      <c r="AA22" s="228"/>
      <c r="AB22" s="218"/>
      <c r="AC22" s="220"/>
      <c r="AD22" s="220" t="s">
        <v>1124</v>
      </c>
      <c r="AE22" s="220" t="str">
        <f t="shared" si="0"/>
        <v/>
      </c>
      <c r="AF22" s="229"/>
      <c r="AG22" s="220" t="str">
        <f t="shared" si="7"/>
        <v>2</v>
      </c>
      <c r="AH22" s="220" t="str">
        <f t="shared" si="8"/>
        <v>2</v>
      </c>
      <c r="AI22" s="220">
        <v>2</v>
      </c>
      <c r="AJ22" s="221" t="str">
        <f t="shared" si="9"/>
        <v>2</v>
      </c>
      <c r="AK22" s="220" t="str">
        <f t="shared" si="10"/>
        <v>2.2.2.2</v>
      </c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ht="16.5" customHeight="1" outlineLevel="2">
      <c r="A23" s="207">
        <f t="shared" si="1"/>
        <v>18</v>
      </c>
      <c r="B23" s="207">
        <v>18</v>
      </c>
      <c r="C23" s="208" t="s">
        <v>1125</v>
      </c>
      <c r="D23" s="209">
        <v>0</v>
      </c>
      <c r="E23" s="504" t="s">
        <v>123</v>
      </c>
      <c r="F23" s="213">
        <f t="shared" si="13"/>
        <v>0</v>
      </c>
      <c r="G23" s="207"/>
      <c r="H23" s="223">
        <f t="shared" si="3"/>
        <v>2012</v>
      </c>
      <c r="I23" s="224" t="s">
        <v>131</v>
      </c>
      <c r="J23" s="213"/>
      <c r="K23" s="213"/>
      <c r="L23" s="213"/>
      <c r="M23" s="213">
        <f t="shared" si="4"/>
        <v>0</v>
      </c>
      <c r="N23" s="207"/>
      <c r="O23" s="231"/>
      <c r="P23" s="230"/>
      <c r="Q23" s="230"/>
      <c r="R23" s="230"/>
      <c r="S23" s="213">
        <f t="shared" si="5"/>
        <v>0</v>
      </c>
      <c r="T23" s="216"/>
      <c r="U23" s="207"/>
      <c r="V23" s="216"/>
      <c r="W23" s="216"/>
      <c r="X23" s="216"/>
      <c r="Y23" s="213">
        <f t="shared" si="6"/>
        <v>0</v>
      </c>
      <c r="Z23" s="222" t="s">
        <v>1097</v>
      </c>
      <c r="AA23" s="228"/>
      <c r="AB23" s="218"/>
      <c r="AC23" s="220"/>
      <c r="AD23" s="220"/>
      <c r="AE23" s="220" t="str">
        <f t="shared" si="0"/>
        <v/>
      </c>
      <c r="AF23" s="229"/>
      <c r="AG23" s="220" t="str">
        <f t="shared" si="7"/>
        <v>2</v>
      </c>
      <c r="AH23" s="220" t="str">
        <f t="shared" si="8"/>
        <v>2</v>
      </c>
      <c r="AI23" s="220">
        <v>2</v>
      </c>
      <c r="AJ23" s="221" t="str">
        <f t="shared" si="9"/>
        <v>2</v>
      </c>
      <c r="AK23" s="220" t="str">
        <f t="shared" si="10"/>
        <v>2.2.2.2</v>
      </c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ht="16.5" customHeight="1" outlineLevel="2">
      <c r="A24" s="207">
        <f t="shared" si="1"/>
        <v>19</v>
      </c>
      <c r="B24" s="207">
        <v>19</v>
      </c>
      <c r="C24" s="208" t="s">
        <v>1126</v>
      </c>
      <c r="D24" s="209">
        <v>1855.5285676533017</v>
      </c>
      <c r="E24" s="504" t="s">
        <v>104</v>
      </c>
      <c r="F24" s="213">
        <f t="shared" si="13"/>
        <v>755.46</v>
      </c>
      <c r="G24" s="207"/>
      <c r="H24" s="223">
        <f t="shared" si="3"/>
        <v>2014</v>
      </c>
      <c r="I24" s="224" t="s">
        <v>133</v>
      </c>
      <c r="J24" s="213">
        <v>755.46</v>
      </c>
      <c r="K24" s="213">
        <v>0</v>
      </c>
      <c r="L24" s="213">
        <v>755.46</v>
      </c>
      <c r="M24" s="213">
        <f t="shared" si="4"/>
        <v>755.46</v>
      </c>
      <c r="N24" s="207"/>
      <c r="O24" s="231"/>
      <c r="P24" s="230"/>
      <c r="Q24" s="230"/>
      <c r="R24" s="230"/>
      <c r="S24" s="213">
        <f t="shared" si="5"/>
        <v>0</v>
      </c>
      <c r="T24" s="216"/>
      <c r="U24" s="207"/>
      <c r="V24" s="216"/>
      <c r="W24" s="216"/>
      <c r="X24" s="216"/>
      <c r="Y24" s="213">
        <f t="shared" si="6"/>
        <v>0</v>
      </c>
      <c r="Z24" s="222" t="s">
        <v>1097</v>
      </c>
      <c r="AA24" s="228"/>
      <c r="AB24" s="218"/>
      <c r="AC24" s="220"/>
      <c r="AD24" s="220"/>
      <c r="AE24" s="220" t="str">
        <f t="shared" si="0"/>
        <v/>
      </c>
      <c r="AF24" s="229"/>
      <c r="AG24" s="220" t="str">
        <f t="shared" si="7"/>
        <v>2</v>
      </c>
      <c r="AH24" s="220" t="str">
        <f t="shared" si="8"/>
        <v>1</v>
      </c>
      <c r="AI24" s="220">
        <v>2</v>
      </c>
      <c r="AJ24" s="221" t="str">
        <f t="shared" si="9"/>
        <v>2</v>
      </c>
      <c r="AK24" s="220" t="str">
        <f t="shared" si="10"/>
        <v>2.1.2.2</v>
      </c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ht="16.5" customHeight="1" outlineLevel="2">
      <c r="A25" s="207">
        <f t="shared" si="1"/>
        <v>20</v>
      </c>
      <c r="B25" s="207">
        <v>20</v>
      </c>
      <c r="C25" s="208" t="s">
        <v>1127</v>
      </c>
      <c r="D25" s="209">
        <v>6691.6246575829127</v>
      </c>
      <c r="E25" s="504" t="s">
        <v>104</v>
      </c>
      <c r="F25" s="213">
        <f t="shared" si="13"/>
        <v>4764.53</v>
      </c>
      <c r="G25" s="207"/>
      <c r="H25" s="223">
        <f t="shared" si="3"/>
        <v>2015</v>
      </c>
      <c r="I25" s="224" t="s">
        <v>1128</v>
      </c>
      <c r="J25" s="213">
        <v>4764.53</v>
      </c>
      <c r="K25" s="213">
        <v>0</v>
      </c>
      <c r="L25" s="213">
        <v>4764.53</v>
      </c>
      <c r="M25" s="213">
        <f t="shared" si="4"/>
        <v>4764.53</v>
      </c>
      <c r="N25" s="207"/>
      <c r="O25" s="231" t="s">
        <v>721</v>
      </c>
      <c r="P25" s="230">
        <v>12777.64</v>
      </c>
      <c r="Q25" s="230">
        <v>0</v>
      </c>
      <c r="R25" s="230">
        <v>12777.64</v>
      </c>
      <c r="S25" s="213">
        <f t="shared" si="5"/>
        <v>12777.64</v>
      </c>
      <c r="T25" s="216"/>
      <c r="U25" s="207"/>
      <c r="V25" s="216"/>
      <c r="W25" s="216"/>
      <c r="X25" s="216"/>
      <c r="Y25" s="213">
        <f t="shared" si="6"/>
        <v>0</v>
      </c>
      <c r="Z25" s="222" t="s">
        <v>1129</v>
      </c>
      <c r="AA25" s="228" t="s">
        <v>1090</v>
      </c>
      <c r="AB25" s="218"/>
      <c r="AC25" s="220"/>
      <c r="AD25" s="220"/>
      <c r="AE25" s="220" t="str">
        <f t="shared" si="0"/>
        <v/>
      </c>
      <c r="AF25" s="229"/>
      <c r="AG25" s="220" t="str">
        <f t="shared" si="7"/>
        <v>2</v>
      </c>
      <c r="AH25" s="220" t="str">
        <f t="shared" si="8"/>
        <v>1</v>
      </c>
      <c r="AI25" s="220"/>
      <c r="AJ25" s="221" t="str">
        <f t="shared" si="9"/>
        <v>1</v>
      </c>
      <c r="AK25" s="220" t="str">
        <f t="shared" si="10"/>
        <v>2.1..1</v>
      </c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ht="16.5" customHeight="1" outlineLevel="2">
      <c r="A26" s="207">
        <f t="shared" si="1"/>
        <v>21</v>
      </c>
      <c r="B26" s="207">
        <v>21</v>
      </c>
      <c r="C26" s="208" t="s">
        <v>1130</v>
      </c>
      <c r="D26" s="209">
        <v>24784.179962587183</v>
      </c>
      <c r="E26" s="504" t="s">
        <v>91</v>
      </c>
      <c r="F26" s="213">
        <f>Y26</f>
        <v>25964.52</v>
      </c>
      <c r="G26" s="207"/>
      <c r="H26" s="223">
        <f t="shared" si="3"/>
        <v>2014</v>
      </c>
      <c r="I26" s="224" t="s">
        <v>1131</v>
      </c>
      <c r="J26" s="213">
        <v>26826.9</v>
      </c>
      <c r="K26" s="213">
        <v>0</v>
      </c>
      <c r="L26" s="213">
        <v>26826.9</v>
      </c>
      <c r="M26" s="213">
        <f t="shared" si="4"/>
        <v>26826.9</v>
      </c>
      <c r="N26" s="207"/>
      <c r="O26" s="231"/>
      <c r="P26" s="230"/>
      <c r="Q26" s="230"/>
      <c r="R26" s="230"/>
      <c r="S26" s="213">
        <f t="shared" si="5"/>
        <v>0</v>
      </c>
      <c r="T26" s="216" t="s">
        <v>1076</v>
      </c>
      <c r="U26" s="507" t="s">
        <v>137</v>
      </c>
      <c r="V26" s="232">
        <v>25964.52</v>
      </c>
      <c r="W26" s="233">
        <v>278.35000000000002</v>
      </c>
      <c r="X26" s="216"/>
      <c r="Y26" s="213">
        <f t="shared" si="6"/>
        <v>25964.52</v>
      </c>
      <c r="Z26" s="222">
        <v>2022</v>
      </c>
      <c r="AA26" s="228"/>
      <c r="AB26" s="218"/>
      <c r="AC26" s="220"/>
      <c r="AD26" s="220"/>
      <c r="AE26" s="220" t="str">
        <f t="shared" si="0"/>
        <v>V</v>
      </c>
      <c r="AF26" s="229"/>
      <c r="AG26" s="220" t="str">
        <f t="shared" si="7"/>
        <v>2</v>
      </c>
      <c r="AH26" s="220" t="str">
        <f t="shared" si="8"/>
        <v>1</v>
      </c>
      <c r="AI26" s="220"/>
      <c r="AJ26" s="221" t="str">
        <f t="shared" si="9"/>
        <v>1</v>
      </c>
      <c r="AK26" s="220" t="str">
        <f t="shared" si="10"/>
        <v>2.1..1</v>
      </c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 ht="16.5" customHeight="1" outlineLevel="2">
      <c r="A27" s="207">
        <f t="shared" si="1"/>
        <v>22</v>
      </c>
      <c r="B27" s="207">
        <v>22</v>
      </c>
      <c r="C27" s="208" t="s">
        <v>1132</v>
      </c>
      <c r="D27" s="209">
        <v>8818.0422845580142</v>
      </c>
      <c r="E27" s="504" t="s">
        <v>104</v>
      </c>
      <c r="F27" s="213">
        <f t="shared" ref="F27:F28" si="14">IF(M27&gt;0,M27,IF(S27&gt;0,S27,IF(Y27&gt;0,Y27,0)))</f>
        <v>7739.21</v>
      </c>
      <c r="G27" s="207"/>
      <c r="H27" s="223">
        <f t="shared" si="3"/>
        <v>2014</v>
      </c>
      <c r="I27" s="224" t="s">
        <v>1133</v>
      </c>
      <c r="J27" s="213">
        <v>7739.21</v>
      </c>
      <c r="K27" s="213">
        <v>0</v>
      </c>
      <c r="L27" s="213">
        <v>7739.21</v>
      </c>
      <c r="M27" s="213">
        <f t="shared" si="4"/>
        <v>7739.21</v>
      </c>
      <c r="N27" s="207"/>
      <c r="O27" s="505" t="s">
        <v>1134</v>
      </c>
      <c r="P27" s="230">
        <v>8818</v>
      </c>
      <c r="Q27" s="230">
        <v>0</v>
      </c>
      <c r="R27" s="230">
        <v>8818</v>
      </c>
      <c r="S27" s="213">
        <f t="shared" si="5"/>
        <v>8818</v>
      </c>
      <c r="T27" s="216"/>
      <c r="U27" s="207"/>
      <c r="V27" s="216"/>
      <c r="W27" s="216"/>
      <c r="X27" s="216"/>
      <c r="Y27" s="213">
        <f t="shared" si="6"/>
        <v>0</v>
      </c>
      <c r="Z27" s="222">
        <v>2023</v>
      </c>
      <c r="AA27" s="228" t="s">
        <v>1090</v>
      </c>
      <c r="AB27" s="218"/>
      <c r="AC27" s="220"/>
      <c r="AD27" s="220"/>
      <c r="AE27" s="220" t="str">
        <f t="shared" si="0"/>
        <v/>
      </c>
      <c r="AF27" s="229"/>
      <c r="AG27" s="220" t="str">
        <f t="shared" si="7"/>
        <v>2</v>
      </c>
      <c r="AH27" s="220" t="str">
        <f t="shared" si="8"/>
        <v>1</v>
      </c>
      <c r="AI27" s="220"/>
      <c r="AJ27" s="221" t="str">
        <f t="shared" si="9"/>
        <v>1</v>
      </c>
      <c r="AK27" s="220" t="str">
        <f t="shared" si="10"/>
        <v>2.1..1</v>
      </c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ht="16.5" customHeight="1" outlineLevel="2">
      <c r="A28" s="207">
        <f t="shared" si="1"/>
        <v>23</v>
      </c>
      <c r="B28" s="207">
        <v>23</v>
      </c>
      <c r="C28" s="208" t="s">
        <v>1135</v>
      </c>
      <c r="D28" s="209">
        <v>7171.548211449719</v>
      </c>
      <c r="E28" s="504" t="s">
        <v>91</v>
      </c>
      <c r="F28" s="213">
        <f t="shared" si="14"/>
        <v>7030</v>
      </c>
      <c r="G28" s="207"/>
      <c r="H28" s="223">
        <f t="shared" si="3"/>
        <v>2014</v>
      </c>
      <c r="I28" s="224" t="s">
        <v>1136</v>
      </c>
      <c r="J28" s="213"/>
      <c r="K28" s="213"/>
      <c r="L28" s="213"/>
      <c r="M28" s="213">
        <f t="shared" si="4"/>
        <v>0</v>
      </c>
      <c r="N28" s="207"/>
      <c r="O28" s="231"/>
      <c r="P28" s="230"/>
      <c r="Q28" s="230"/>
      <c r="R28" s="230"/>
      <c r="S28" s="213">
        <f t="shared" si="5"/>
        <v>0</v>
      </c>
      <c r="T28" s="216" t="s">
        <v>1076</v>
      </c>
      <c r="U28" s="227" t="s">
        <v>141</v>
      </c>
      <c r="V28" s="216">
        <v>7030</v>
      </c>
      <c r="W28" s="216"/>
      <c r="X28" s="216">
        <v>7030</v>
      </c>
      <c r="Y28" s="213">
        <f t="shared" si="6"/>
        <v>7030</v>
      </c>
      <c r="Z28" s="222">
        <v>2020</v>
      </c>
      <c r="AA28" s="228"/>
      <c r="AB28" s="218"/>
      <c r="AC28" s="220"/>
      <c r="AD28" s="220"/>
      <c r="AE28" s="220" t="str">
        <f t="shared" si="0"/>
        <v>V</v>
      </c>
      <c r="AF28" s="229"/>
      <c r="AG28" s="220" t="str">
        <f t="shared" si="7"/>
        <v>2</v>
      </c>
      <c r="AH28" s="220" t="str">
        <f t="shared" si="8"/>
        <v>2</v>
      </c>
      <c r="AI28" s="220"/>
      <c r="AJ28" s="221" t="str">
        <f t="shared" si="9"/>
        <v>1</v>
      </c>
      <c r="AK28" s="220" t="str">
        <f t="shared" si="10"/>
        <v>2.2..1</v>
      </c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 ht="16.5" customHeight="1" outlineLevel="1">
      <c r="A29" s="207"/>
      <c r="B29" s="235"/>
      <c r="C29" s="236" t="s">
        <v>1137</v>
      </c>
      <c r="D29" s="237">
        <f>SUM(D6:D28)</f>
        <v>213998.36149629761</v>
      </c>
      <c r="E29" s="238">
        <f>COUNTIF(E6:E28,"D") + COUNTIF(E6:E28,"DS")</f>
        <v>19</v>
      </c>
      <c r="F29" s="239">
        <f>SUBTOTAL(9,F6:F28)</f>
        <v>205107.8</v>
      </c>
      <c r="G29" s="201"/>
      <c r="H29" s="240"/>
      <c r="I29" s="241">
        <v>23</v>
      </c>
      <c r="J29" s="239">
        <f t="shared" ref="J29:M29" si="15">SUBTOTAL(9,J6:J28)</f>
        <v>143091.18</v>
      </c>
      <c r="K29" s="239">
        <f t="shared" si="15"/>
        <v>0</v>
      </c>
      <c r="L29" s="239">
        <f t="shared" si="15"/>
        <v>143091.18</v>
      </c>
      <c r="M29" s="239">
        <f t="shared" si="15"/>
        <v>143091.18</v>
      </c>
      <c r="N29" s="201">
        <f>COUNTIF(N6:N28,T6)</f>
        <v>1</v>
      </c>
      <c r="O29" s="236">
        <v>7</v>
      </c>
      <c r="P29" s="203">
        <v>102769.73</v>
      </c>
      <c r="Q29" s="203">
        <v>0</v>
      </c>
      <c r="R29" s="203">
        <v>102769.73</v>
      </c>
      <c r="S29" s="239">
        <f>SUBTOTAL(9,S6:S28)</f>
        <v>80013.3</v>
      </c>
      <c r="T29" s="203">
        <f>COUNTIF(T6:T28,T15)</f>
        <v>9</v>
      </c>
      <c r="U29" s="201">
        <v>11</v>
      </c>
      <c r="V29" s="242">
        <f t="shared" ref="V29:Y29" si="16">SUBTOTAL(9,V6:V28)</f>
        <v>158785.21</v>
      </c>
      <c r="W29" s="242">
        <f t="shared" si="16"/>
        <v>9646.02</v>
      </c>
      <c r="X29" s="242">
        <f t="shared" si="16"/>
        <v>77942.44</v>
      </c>
      <c r="Y29" s="239">
        <f t="shared" si="16"/>
        <v>164687.26999999999</v>
      </c>
      <c r="Z29" s="243" t="s">
        <v>1138</v>
      </c>
      <c r="AA29" s="228"/>
      <c r="AB29" s="218"/>
      <c r="AC29" s="220"/>
      <c r="AD29" s="220"/>
      <c r="AE29" s="244">
        <f>COUNTIF(AE6:AE28,"V") + COUNTIF(AE6:AE28,"VV") + COUNTIF(AE6:AE28,"VVV")</f>
        <v>10</v>
      </c>
      <c r="AF29" s="229"/>
      <c r="AG29" s="220"/>
      <c r="AH29" s="220"/>
      <c r="AI29" s="220"/>
      <c r="AJ29" s="221"/>
      <c r="AK29" s="220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ht="16.5" customHeight="1" outlineLevel="2">
      <c r="A30" s="207">
        <f t="shared" ref="A30:A62" si="17">SUBTOTAL(3,$B$6:B30)</f>
        <v>24</v>
      </c>
      <c r="B30" s="207">
        <v>1</v>
      </c>
      <c r="C30" s="245" t="s">
        <v>1139</v>
      </c>
      <c r="D30" s="209">
        <v>6538.009697936126</v>
      </c>
      <c r="E30" s="504" t="s">
        <v>91</v>
      </c>
      <c r="F30" s="213">
        <f t="shared" ref="F30:F55" si="18">IF(M30&gt;0,M30,IF(S30&gt;0,S30,IF(Y30&gt;0,Y30,0)))</f>
        <v>16330.26</v>
      </c>
      <c r="G30" s="207" t="s">
        <v>1076</v>
      </c>
      <c r="H30" s="223">
        <f t="shared" ref="H30:H62" si="19">VALUE(RIGHT(I30,4))</f>
        <v>2013</v>
      </c>
      <c r="I30" s="224" t="s">
        <v>143</v>
      </c>
      <c r="J30" s="213"/>
      <c r="K30" s="213"/>
      <c r="L30" s="213">
        <v>16330.26</v>
      </c>
      <c r="M30" s="213">
        <f t="shared" ref="M30:M62" si="20">IF(L30&gt;0,L30,IF(J30&gt;0,J30,0))</f>
        <v>16330.26</v>
      </c>
      <c r="N30" s="207"/>
      <c r="O30" s="231" t="s">
        <v>1140</v>
      </c>
      <c r="P30" s="621" t="s">
        <v>1141</v>
      </c>
      <c r="Q30" s="564"/>
      <c r="R30" s="559"/>
      <c r="S30" s="213"/>
      <c r="T30" s="216"/>
      <c r="U30" s="207"/>
      <c r="V30" s="216"/>
      <c r="W30" s="216"/>
      <c r="X30" s="216"/>
      <c r="Y30" s="213"/>
      <c r="Z30" s="222">
        <v>2020</v>
      </c>
      <c r="AA30" s="228"/>
      <c r="AB30" s="218"/>
      <c r="AC30" s="220"/>
      <c r="AD30" s="220"/>
      <c r="AE30" s="220" t="str">
        <f t="shared" ref="AE30:AE62" si="21">CONCATENATE(G30,N30,T30)</f>
        <v>V</v>
      </c>
      <c r="AF30" s="229"/>
      <c r="AG30" s="220" t="str">
        <f t="shared" ref="AG30:AG62" si="22">IF(H30="","3",IF(H30&lt;=2018,"2","1"))</f>
        <v>2</v>
      </c>
      <c r="AH30" s="220" t="str">
        <f t="shared" ref="AH30:AH62" si="23">IF(M30&gt;0,"1","2")</f>
        <v>1</v>
      </c>
      <c r="AI30" s="220"/>
      <c r="AJ30" s="221" t="str">
        <f t="shared" ref="AJ30:AJ62" si="24">IF(S30&gt;0,"1",IF(Y30&gt;0,"1","2"))</f>
        <v>2</v>
      </c>
      <c r="AK30" s="220" t="str">
        <f t="shared" ref="AK30:AK62" si="25">CONCATENATE(AG30,".",AH30,".",AI30,".",AJ30)</f>
        <v>2.1..2</v>
      </c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 ht="16.5" customHeight="1" outlineLevel="2">
      <c r="A31" s="207">
        <f t="shared" si="17"/>
        <v>25</v>
      </c>
      <c r="B31" s="207">
        <v>2</v>
      </c>
      <c r="C31" s="245" t="s">
        <v>1142</v>
      </c>
      <c r="D31" s="209">
        <v>12075.262265283354</v>
      </c>
      <c r="E31" s="504" t="s">
        <v>91</v>
      </c>
      <c r="F31" s="213">
        <f t="shared" si="18"/>
        <v>12061</v>
      </c>
      <c r="G31" s="207" t="s">
        <v>1076</v>
      </c>
      <c r="H31" s="223">
        <f t="shared" si="19"/>
        <v>2020</v>
      </c>
      <c r="I31" s="224" t="s">
        <v>145</v>
      </c>
      <c r="J31" s="246">
        <v>0</v>
      </c>
      <c r="K31" s="246">
        <v>0</v>
      </c>
      <c r="L31" s="246">
        <v>12061</v>
      </c>
      <c r="M31" s="213">
        <f t="shared" si="20"/>
        <v>12061</v>
      </c>
      <c r="N31" s="207"/>
      <c r="O31" s="231" t="s">
        <v>159</v>
      </c>
      <c r="P31" s="230">
        <v>0</v>
      </c>
      <c r="Q31" s="230">
        <v>0</v>
      </c>
      <c r="R31" s="230">
        <v>0</v>
      </c>
      <c r="S31" s="213">
        <f t="shared" ref="S31:S48" si="26">IF(R31&gt;0,R31,IF(P31&gt;0,P31,0))</f>
        <v>0</v>
      </c>
      <c r="T31" s="216"/>
      <c r="U31" s="207"/>
      <c r="V31" s="216"/>
      <c r="W31" s="216"/>
      <c r="X31" s="216"/>
      <c r="Y31" s="213">
        <f t="shared" ref="Y31:Y48" si="27">IF(X31&gt;0,X31,IF(V31&gt;0,V31,0))</f>
        <v>0</v>
      </c>
      <c r="Z31" s="222">
        <v>2021</v>
      </c>
      <c r="AA31" s="228"/>
      <c r="AB31" s="218"/>
      <c r="AC31" s="220"/>
      <c r="AD31" s="220"/>
      <c r="AE31" s="220" t="str">
        <f t="shared" si="21"/>
        <v>V</v>
      </c>
      <c r="AF31" s="229"/>
      <c r="AG31" s="220" t="str">
        <f t="shared" si="22"/>
        <v>1</v>
      </c>
      <c r="AH31" s="220" t="str">
        <f t="shared" si="23"/>
        <v>1</v>
      </c>
      <c r="AI31" s="220"/>
      <c r="AJ31" s="221" t="str">
        <f t="shared" si="24"/>
        <v>2</v>
      </c>
      <c r="AK31" s="220" t="str">
        <f t="shared" si="25"/>
        <v>1.1..2</v>
      </c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ht="16.5" customHeight="1" outlineLevel="2">
      <c r="A32" s="207">
        <f t="shared" si="17"/>
        <v>26</v>
      </c>
      <c r="B32" s="207">
        <v>3</v>
      </c>
      <c r="C32" s="245" t="s">
        <v>1143</v>
      </c>
      <c r="D32" s="209">
        <v>5694.1589052428772</v>
      </c>
      <c r="E32" s="504" t="s">
        <v>123</v>
      </c>
      <c r="F32" s="213">
        <f t="shared" si="18"/>
        <v>0</v>
      </c>
      <c r="G32" s="207"/>
      <c r="H32" s="223">
        <f t="shared" si="19"/>
        <v>2014</v>
      </c>
      <c r="I32" s="224" t="s">
        <v>147</v>
      </c>
      <c r="J32" s="246"/>
      <c r="K32" s="246"/>
      <c r="L32" s="246"/>
      <c r="M32" s="213">
        <f t="shared" si="20"/>
        <v>0</v>
      </c>
      <c r="N32" s="207"/>
      <c r="O32" s="231"/>
      <c r="P32" s="230"/>
      <c r="Q32" s="230"/>
      <c r="R32" s="230"/>
      <c r="S32" s="213">
        <f t="shared" si="26"/>
        <v>0</v>
      </c>
      <c r="T32" s="216"/>
      <c r="U32" s="207"/>
      <c r="V32" s="216"/>
      <c r="W32" s="216"/>
      <c r="X32" s="216"/>
      <c r="Y32" s="213">
        <f t="shared" si="27"/>
        <v>0</v>
      </c>
      <c r="Z32" s="222" t="s">
        <v>1097</v>
      </c>
      <c r="AA32" s="228"/>
      <c r="AB32" s="218"/>
      <c r="AC32" s="220"/>
      <c r="AD32" s="220"/>
      <c r="AE32" s="220" t="str">
        <f t="shared" si="21"/>
        <v/>
      </c>
      <c r="AF32" s="229"/>
      <c r="AG32" s="220" t="str">
        <f t="shared" si="22"/>
        <v>2</v>
      </c>
      <c r="AH32" s="220" t="str">
        <f t="shared" si="23"/>
        <v>2</v>
      </c>
      <c r="AI32" s="220"/>
      <c r="AJ32" s="221" t="str">
        <f t="shared" si="24"/>
        <v>2</v>
      </c>
      <c r="AK32" s="220" t="str">
        <f t="shared" si="25"/>
        <v>2.2..2</v>
      </c>
      <c r="AL32" s="1"/>
      <c r="AM32" s="1"/>
      <c r="AN32" s="1"/>
      <c r="AO32" s="1">
        <v>117841.88784165261</v>
      </c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ht="16.5" customHeight="1" outlineLevel="2">
      <c r="A33" s="207">
        <f t="shared" si="17"/>
        <v>27</v>
      </c>
      <c r="B33" s="207">
        <v>4</v>
      </c>
      <c r="C33" s="245" t="s">
        <v>1144</v>
      </c>
      <c r="D33" s="209">
        <v>33861.22374609606</v>
      </c>
      <c r="E33" s="504" t="s">
        <v>91</v>
      </c>
      <c r="F33" s="213">
        <f t="shared" si="18"/>
        <v>26212.959999999999</v>
      </c>
      <c r="G33" s="207" t="s">
        <v>1076</v>
      </c>
      <c r="H33" s="223">
        <f t="shared" si="19"/>
        <v>2021</v>
      </c>
      <c r="I33" s="224" t="s">
        <v>149</v>
      </c>
      <c r="J33" s="246">
        <v>0</v>
      </c>
      <c r="K33" s="246"/>
      <c r="L33" s="246">
        <v>26212.959999999999</v>
      </c>
      <c r="M33" s="213">
        <f t="shared" si="20"/>
        <v>26212.959999999999</v>
      </c>
      <c r="N33" s="207"/>
      <c r="O33" s="231"/>
      <c r="P33" s="230"/>
      <c r="Q33" s="230"/>
      <c r="R33" s="230"/>
      <c r="S33" s="213">
        <f t="shared" si="26"/>
        <v>0</v>
      </c>
      <c r="T33" s="216"/>
      <c r="U33" s="207"/>
      <c r="V33" s="216"/>
      <c r="W33" s="216"/>
      <c r="X33" s="216"/>
      <c r="Y33" s="213">
        <f t="shared" si="27"/>
        <v>0</v>
      </c>
      <c r="Z33" s="222">
        <v>2020</v>
      </c>
      <c r="AA33" s="228"/>
      <c r="AB33" s="218"/>
      <c r="AC33" s="220"/>
      <c r="AD33" s="220"/>
      <c r="AE33" s="220" t="str">
        <f t="shared" si="21"/>
        <v>V</v>
      </c>
      <c r="AF33" s="229"/>
      <c r="AG33" s="220" t="str">
        <f t="shared" si="22"/>
        <v>1</v>
      </c>
      <c r="AH33" s="220" t="str">
        <f t="shared" si="23"/>
        <v>1</v>
      </c>
      <c r="AI33" s="220"/>
      <c r="AJ33" s="221" t="str">
        <f t="shared" si="24"/>
        <v>2</v>
      </c>
      <c r="AK33" s="220" t="str">
        <f t="shared" si="25"/>
        <v>1.1..2</v>
      </c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 ht="16.5" customHeight="1" outlineLevel="2">
      <c r="A34" s="207">
        <f t="shared" si="17"/>
        <v>28</v>
      </c>
      <c r="B34" s="207">
        <v>5</v>
      </c>
      <c r="C34" s="245" t="s">
        <v>1145</v>
      </c>
      <c r="D34" s="209">
        <v>11836.711348452704</v>
      </c>
      <c r="E34" s="504" t="s">
        <v>123</v>
      </c>
      <c r="F34" s="213">
        <f t="shared" si="18"/>
        <v>0</v>
      </c>
      <c r="G34" s="207"/>
      <c r="H34" s="223">
        <f t="shared" si="19"/>
        <v>2018</v>
      </c>
      <c r="I34" s="224" t="s">
        <v>151</v>
      </c>
      <c r="J34" s="246"/>
      <c r="K34" s="246"/>
      <c r="L34" s="246"/>
      <c r="M34" s="213">
        <f t="shared" si="20"/>
        <v>0</v>
      </c>
      <c r="N34" s="207"/>
      <c r="O34" s="231"/>
      <c r="P34" s="230"/>
      <c r="Q34" s="230"/>
      <c r="R34" s="230"/>
      <c r="S34" s="213">
        <f t="shared" si="26"/>
        <v>0</v>
      </c>
      <c r="T34" s="216"/>
      <c r="U34" s="207"/>
      <c r="V34" s="216"/>
      <c r="W34" s="216"/>
      <c r="X34" s="216"/>
      <c r="Y34" s="213">
        <f t="shared" si="27"/>
        <v>0</v>
      </c>
      <c r="Z34" s="222" t="s">
        <v>1097</v>
      </c>
      <c r="AA34" s="228"/>
      <c r="AB34" s="218"/>
      <c r="AC34" s="220"/>
      <c r="AD34" s="220"/>
      <c r="AE34" s="220" t="str">
        <f t="shared" si="21"/>
        <v/>
      </c>
      <c r="AF34" s="229" t="s">
        <v>1146</v>
      </c>
      <c r="AG34" s="220" t="str">
        <f t="shared" si="22"/>
        <v>2</v>
      </c>
      <c r="AH34" s="220" t="str">
        <f t="shared" si="23"/>
        <v>2</v>
      </c>
      <c r="AI34" s="220"/>
      <c r="AJ34" s="221" t="str">
        <f t="shared" si="24"/>
        <v>2</v>
      </c>
      <c r="AK34" s="220" t="str">
        <f t="shared" si="25"/>
        <v>2.2..2</v>
      </c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ht="16.5" customHeight="1" outlineLevel="2">
      <c r="A35" s="207">
        <f t="shared" si="17"/>
        <v>29</v>
      </c>
      <c r="B35" s="207">
        <v>6</v>
      </c>
      <c r="C35" s="245" t="s">
        <v>1147</v>
      </c>
      <c r="D35" s="209">
        <v>14471.96725497933</v>
      </c>
      <c r="E35" s="504" t="s">
        <v>104</v>
      </c>
      <c r="F35" s="213">
        <f t="shared" si="18"/>
        <v>12768</v>
      </c>
      <c r="G35" s="207"/>
      <c r="H35" s="223">
        <f t="shared" si="19"/>
        <v>2022</v>
      </c>
      <c r="I35" s="224" t="s">
        <v>153</v>
      </c>
      <c r="J35" s="246"/>
      <c r="K35" s="246"/>
      <c r="L35" s="246">
        <v>12768</v>
      </c>
      <c r="M35" s="213">
        <f t="shared" si="20"/>
        <v>12768</v>
      </c>
      <c r="N35" s="207"/>
      <c r="O35" s="231"/>
      <c r="P35" s="230"/>
      <c r="Q35" s="230"/>
      <c r="R35" s="230"/>
      <c r="S35" s="213">
        <f t="shared" si="26"/>
        <v>0</v>
      </c>
      <c r="T35" s="216"/>
      <c r="U35" s="207"/>
      <c r="V35" s="216"/>
      <c r="W35" s="216"/>
      <c r="X35" s="216"/>
      <c r="Y35" s="213">
        <f t="shared" si="27"/>
        <v>0</v>
      </c>
      <c r="Z35" s="222" t="s">
        <v>1097</v>
      </c>
      <c r="AA35" s="228"/>
      <c r="AB35" s="218"/>
      <c r="AC35" s="220"/>
      <c r="AD35" s="220"/>
      <c r="AE35" s="220" t="str">
        <f t="shared" si="21"/>
        <v/>
      </c>
      <c r="AF35" s="229"/>
      <c r="AG35" s="220" t="str">
        <f t="shared" si="22"/>
        <v>1</v>
      </c>
      <c r="AH35" s="220" t="str">
        <f t="shared" si="23"/>
        <v>1</v>
      </c>
      <c r="AI35" s="220"/>
      <c r="AJ35" s="221" t="str">
        <f t="shared" si="24"/>
        <v>2</v>
      </c>
      <c r="AK35" s="220" t="str">
        <f t="shared" si="25"/>
        <v>1.1..2</v>
      </c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ht="16.5" customHeight="1" outlineLevel="2">
      <c r="A36" s="207">
        <f t="shared" si="17"/>
        <v>30</v>
      </c>
      <c r="B36" s="207">
        <v>7</v>
      </c>
      <c r="C36" s="245" t="s">
        <v>1148</v>
      </c>
      <c r="D36" s="209">
        <v>1208.3647847157999</v>
      </c>
      <c r="E36" s="504" t="s">
        <v>123</v>
      </c>
      <c r="F36" s="213">
        <f t="shared" si="18"/>
        <v>0</v>
      </c>
      <c r="G36" s="207"/>
      <c r="H36" s="223">
        <f t="shared" si="19"/>
        <v>2020</v>
      </c>
      <c r="I36" s="224" t="s">
        <v>155</v>
      </c>
      <c r="J36" s="246"/>
      <c r="K36" s="246"/>
      <c r="L36" s="246"/>
      <c r="M36" s="213">
        <f t="shared" si="20"/>
        <v>0</v>
      </c>
      <c r="N36" s="207"/>
      <c r="O36" s="231"/>
      <c r="P36" s="230"/>
      <c r="Q36" s="230"/>
      <c r="R36" s="230"/>
      <c r="S36" s="213">
        <f t="shared" si="26"/>
        <v>0</v>
      </c>
      <c r="T36" s="216"/>
      <c r="U36" s="207"/>
      <c r="V36" s="216"/>
      <c r="W36" s="216"/>
      <c r="X36" s="216"/>
      <c r="Y36" s="213">
        <f t="shared" si="27"/>
        <v>0</v>
      </c>
      <c r="Z36" s="222" t="s">
        <v>1097</v>
      </c>
      <c r="AA36" s="228"/>
      <c r="AB36" s="218"/>
      <c r="AC36" s="220"/>
      <c r="AD36" s="220"/>
      <c r="AE36" s="220" t="str">
        <f t="shared" si="21"/>
        <v/>
      </c>
      <c r="AF36" s="229"/>
      <c r="AG36" s="220" t="str">
        <f t="shared" si="22"/>
        <v>1</v>
      </c>
      <c r="AH36" s="220" t="str">
        <f t="shared" si="23"/>
        <v>2</v>
      </c>
      <c r="AI36" s="220"/>
      <c r="AJ36" s="221" t="str">
        <f t="shared" si="24"/>
        <v>2</v>
      </c>
      <c r="AK36" s="220" t="str">
        <f t="shared" si="25"/>
        <v>1.2..2</v>
      </c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ht="16.5" customHeight="1" outlineLevel="2">
      <c r="A37" s="207">
        <f t="shared" si="17"/>
        <v>31</v>
      </c>
      <c r="B37" s="207">
        <v>8</v>
      </c>
      <c r="C37" s="245" t="s">
        <v>1149</v>
      </c>
      <c r="D37" s="209">
        <v>1163.5455893254978</v>
      </c>
      <c r="E37" s="504" t="s">
        <v>123</v>
      </c>
      <c r="F37" s="213">
        <f t="shared" si="18"/>
        <v>0</v>
      </c>
      <c r="G37" s="207"/>
      <c r="H37" s="223">
        <f t="shared" si="19"/>
        <v>2012</v>
      </c>
      <c r="I37" s="224" t="s">
        <v>157</v>
      </c>
      <c r="J37" s="246"/>
      <c r="K37" s="246"/>
      <c r="L37" s="246"/>
      <c r="M37" s="213">
        <f t="shared" si="20"/>
        <v>0</v>
      </c>
      <c r="N37" s="207"/>
      <c r="O37" s="231"/>
      <c r="P37" s="230"/>
      <c r="Q37" s="230"/>
      <c r="R37" s="230"/>
      <c r="S37" s="213">
        <f t="shared" si="26"/>
        <v>0</v>
      </c>
      <c r="T37" s="216"/>
      <c r="U37" s="207"/>
      <c r="V37" s="216"/>
      <c r="W37" s="216"/>
      <c r="X37" s="216"/>
      <c r="Y37" s="213">
        <f t="shared" si="27"/>
        <v>0</v>
      </c>
      <c r="Z37" s="222" t="s">
        <v>1097</v>
      </c>
      <c r="AA37" s="228"/>
      <c r="AB37" s="218"/>
      <c r="AC37" s="220"/>
      <c r="AD37" s="220"/>
      <c r="AE37" s="220" t="str">
        <f t="shared" si="21"/>
        <v/>
      </c>
      <c r="AF37" s="229"/>
      <c r="AG37" s="220" t="str">
        <f t="shared" si="22"/>
        <v>2</v>
      </c>
      <c r="AH37" s="220" t="str">
        <f t="shared" si="23"/>
        <v>2</v>
      </c>
      <c r="AI37" s="220"/>
      <c r="AJ37" s="221" t="str">
        <f t="shared" si="24"/>
        <v>2</v>
      </c>
      <c r="AK37" s="220" t="str">
        <f t="shared" si="25"/>
        <v>2.2..2</v>
      </c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ht="16.5" customHeight="1" outlineLevel="2">
      <c r="A38" s="207">
        <f t="shared" si="17"/>
        <v>32</v>
      </c>
      <c r="B38" s="207">
        <v>9</v>
      </c>
      <c r="C38" s="245" t="s">
        <v>1150</v>
      </c>
      <c r="D38" s="209">
        <v>1005.7925164686635</v>
      </c>
      <c r="E38" s="504" t="s">
        <v>91</v>
      </c>
      <c r="F38" s="213">
        <f t="shared" si="18"/>
        <v>121</v>
      </c>
      <c r="G38" s="207" t="s">
        <v>1076</v>
      </c>
      <c r="H38" s="223">
        <f t="shared" si="19"/>
        <v>2022</v>
      </c>
      <c r="I38" s="224" t="s">
        <v>159</v>
      </c>
      <c r="J38" s="213"/>
      <c r="K38" s="213"/>
      <c r="L38" s="213">
        <v>121</v>
      </c>
      <c r="M38" s="213">
        <f t="shared" si="20"/>
        <v>121</v>
      </c>
      <c r="N38" s="207"/>
      <c r="O38" s="231"/>
      <c r="P38" s="230"/>
      <c r="Q38" s="230"/>
      <c r="R38" s="230"/>
      <c r="S38" s="213">
        <f t="shared" si="26"/>
        <v>0</v>
      </c>
      <c r="T38" s="216"/>
      <c r="U38" s="207"/>
      <c r="V38" s="216"/>
      <c r="W38" s="216"/>
      <c r="X38" s="216"/>
      <c r="Y38" s="213">
        <f t="shared" si="27"/>
        <v>0</v>
      </c>
      <c r="Z38" s="222">
        <v>2020</v>
      </c>
      <c r="AA38" s="228"/>
      <c r="AB38" s="218"/>
      <c r="AC38" s="220"/>
      <c r="AD38" s="220"/>
      <c r="AE38" s="220" t="str">
        <f t="shared" si="21"/>
        <v>V</v>
      </c>
      <c r="AF38" s="229"/>
      <c r="AG38" s="220" t="str">
        <f t="shared" si="22"/>
        <v>1</v>
      </c>
      <c r="AH38" s="220" t="str">
        <f t="shared" si="23"/>
        <v>1</v>
      </c>
      <c r="AI38" s="220"/>
      <c r="AJ38" s="221" t="str">
        <f t="shared" si="24"/>
        <v>2</v>
      </c>
      <c r="AK38" s="220" t="str">
        <f t="shared" si="25"/>
        <v>1.1..2</v>
      </c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ht="16.5" customHeight="1" outlineLevel="2">
      <c r="A39" s="207">
        <f t="shared" si="17"/>
        <v>33</v>
      </c>
      <c r="B39" s="207">
        <v>10</v>
      </c>
      <c r="C39" s="245" t="s">
        <v>1151</v>
      </c>
      <c r="D39" s="209">
        <v>3066.2104740226682</v>
      </c>
      <c r="E39" s="504" t="s">
        <v>123</v>
      </c>
      <c r="F39" s="213">
        <f t="shared" si="18"/>
        <v>0</v>
      </c>
      <c r="G39" s="207"/>
      <c r="H39" s="223">
        <f t="shared" si="19"/>
        <v>2014</v>
      </c>
      <c r="I39" s="224" t="s">
        <v>285</v>
      </c>
      <c r="J39" s="213"/>
      <c r="K39" s="213"/>
      <c r="L39" s="213"/>
      <c r="M39" s="213">
        <f t="shared" si="20"/>
        <v>0</v>
      </c>
      <c r="N39" s="207"/>
      <c r="O39" s="231" t="s">
        <v>161</v>
      </c>
      <c r="P39" s="230"/>
      <c r="Q39" s="230"/>
      <c r="R39" s="230"/>
      <c r="S39" s="213">
        <f t="shared" si="26"/>
        <v>0</v>
      </c>
      <c r="T39" s="216"/>
      <c r="U39" s="207"/>
      <c r="V39" s="216"/>
      <c r="W39" s="216"/>
      <c r="X39" s="216"/>
      <c r="Y39" s="213">
        <f t="shared" si="27"/>
        <v>0</v>
      </c>
      <c r="Z39" s="222" t="s">
        <v>1097</v>
      </c>
      <c r="AA39" s="228"/>
      <c r="AB39" s="218"/>
      <c r="AC39" s="220"/>
      <c r="AD39" s="220"/>
      <c r="AE39" s="220" t="str">
        <f t="shared" si="21"/>
        <v/>
      </c>
      <c r="AF39" s="229"/>
      <c r="AG39" s="220" t="str">
        <f t="shared" si="22"/>
        <v>2</v>
      </c>
      <c r="AH39" s="220" t="str">
        <f t="shared" si="23"/>
        <v>2</v>
      </c>
      <c r="AI39" s="220"/>
      <c r="AJ39" s="221" t="str">
        <f t="shared" si="24"/>
        <v>2</v>
      </c>
      <c r="AK39" s="220" t="str">
        <f t="shared" si="25"/>
        <v>2.2..2</v>
      </c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ht="16.5" customHeight="1" outlineLevel="2">
      <c r="A40" s="207">
        <f t="shared" si="17"/>
        <v>34</v>
      </c>
      <c r="B40" s="207">
        <v>11</v>
      </c>
      <c r="C40" s="245" t="s">
        <v>1152</v>
      </c>
      <c r="D40" s="209">
        <v>1519.7260469217113</v>
      </c>
      <c r="E40" s="504" t="s">
        <v>123</v>
      </c>
      <c r="F40" s="213">
        <f t="shared" si="18"/>
        <v>0</v>
      </c>
      <c r="G40" s="207"/>
      <c r="H40" s="223">
        <f t="shared" si="19"/>
        <v>2013</v>
      </c>
      <c r="I40" s="224" t="s">
        <v>1153</v>
      </c>
      <c r="J40" s="213"/>
      <c r="K40" s="213"/>
      <c r="L40" s="213"/>
      <c r="M40" s="213">
        <f t="shared" si="20"/>
        <v>0</v>
      </c>
      <c r="N40" s="207"/>
      <c r="O40" s="231"/>
      <c r="P40" s="230"/>
      <c r="Q40" s="230"/>
      <c r="R40" s="230"/>
      <c r="S40" s="213">
        <f t="shared" si="26"/>
        <v>0</v>
      </c>
      <c r="T40" s="216"/>
      <c r="U40" s="207"/>
      <c r="V40" s="216"/>
      <c r="W40" s="216"/>
      <c r="X40" s="216"/>
      <c r="Y40" s="213">
        <f t="shared" si="27"/>
        <v>0</v>
      </c>
      <c r="Z40" s="222" t="s">
        <v>1097</v>
      </c>
      <c r="AA40" s="228"/>
      <c r="AB40" s="218"/>
      <c r="AC40" s="220"/>
      <c r="AD40" s="220"/>
      <c r="AE40" s="220" t="str">
        <f t="shared" si="21"/>
        <v/>
      </c>
      <c r="AF40" s="229"/>
      <c r="AG40" s="220" t="str">
        <f t="shared" si="22"/>
        <v>2</v>
      </c>
      <c r="AH40" s="220" t="str">
        <f t="shared" si="23"/>
        <v>2</v>
      </c>
      <c r="AI40" s="220"/>
      <c r="AJ40" s="221" t="str">
        <f t="shared" si="24"/>
        <v>2</v>
      </c>
      <c r="AK40" s="220" t="str">
        <f t="shared" si="25"/>
        <v>2.2..2</v>
      </c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ht="16.5" customHeight="1" outlineLevel="2">
      <c r="A41" s="207">
        <f t="shared" si="17"/>
        <v>35</v>
      </c>
      <c r="B41" s="207">
        <v>12</v>
      </c>
      <c r="C41" s="245" t="s">
        <v>1154</v>
      </c>
      <c r="D41" s="209"/>
      <c r="E41" s="504" t="s">
        <v>123</v>
      </c>
      <c r="F41" s="213">
        <f t="shared" si="18"/>
        <v>0</v>
      </c>
      <c r="G41" s="207"/>
      <c r="H41" s="223">
        <f t="shared" si="19"/>
        <v>2018</v>
      </c>
      <c r="I41" s="224" t="s">
        <v>165</v>
      </c>
      <c r="J41" s="213"/>
      <c r="K41" s="213"/>
      <c r="L41" s="213"/>
      <c r="M41" s="213">
        <f t="shared" si="20"/>
        <v>0</v>
      </c>
      <c r="N41" s="207"/>
      <c r="O41" s="231"/>
      <c r="P41" s="230"/>
      <c r="Q41" s="230"/>
      <c r="R41" s="230"/>
      <c r="S41" s="213">
        <f t="shared" si="26"/>
        <v>0</v>
      </c>
      <c r="T41" s="216"/>
      <c r="U41" s="207"/>
      <c r="V41" s="216"/>
      <c r="W41" s="216"/>
      <c r="X41" s="216"/>
      <c r="Y41" s="213">
        <f t="shared" si="27"/>
        <v>0</v>
      </c>
      <c r="Z41" s="222" t="s">
        <v>1097</v>
      </c>
      <c r="AA41" s="228"/>
      <c r="AB41" s="218"/>
      <c r="AC41" s="220"/>
      <c r="AD41" s="220"/>
      <c r="AE41" s="220" t="str">
        <f t="shared" si="21"/>
        <v/>
      </c>
      <c r="AF41" s="229" t="s">
        <v>1155</v>
      </c>
      <c r="AG41" s="220" t="str">
        <f t="shared" si="22"/>
        <v>2</v>
      </c>
      <c r="AH41" s="220" t="str">
        <f t="shared" si="23"/>
        <v>2</v>
      </c>
      <c r="AI41" s="220"/>
      <c r="AJ41" s="221" t="str">
        <f t="shared" si="24"/>
        <v>2</v>
      </c>
      <c r="AK41" s="220" t="str">
        <f t="shared" si="25"/>
        <v>2.2..2</v>
      </c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ht="16.5" customHeight="1" outlineLevel="2">
      <c r="A42" s="207">
        <f t="shared" si="17"/>
        <v>36</v>
      </c>
      <c r="B42" s="207">
        <v>13</v>
      </c>
      <c r="C42" s="245" t="s">
        <v>1156</v>
      </c>
      <c r="D42" s="209">
        <v>72.74749021292601</v>
      </c>
      <c r="E42" s="504" t="s">
        <v>104</v>
      </c>
      <c r="F42" s="213">
        <f t="shared" si="18"/>
        <v>359.61</v>
      </c>
      <c r="G42" s="207"/>
      <c r="H42" s="223">
        <f t="shared" si="19"/>
        <v>2013</v>
      </c>
      <c r="I42" s="224" t="s">
        <v>167</v>
      </c>
      <c r="J42" s="213">
        <v>359.61</v>
      </c>
      <c r="K42" s="213">
        <v>0</v>
      </c>
      <c r="L42" s="213">
        <v>359.61</v>
      </c>
      <c r="M42" s="213">
        <f t="shared" si="20"/>
        <v>359.61</v>
      </c>
      <c r="N42" s="207"/>
      <c r="O42" s="231"/>
      <c r="P42" s="230"/>
      <c r="Q42" s="230"/>
      <c r="R42" s="230"/>
      <c r="S42" s="213">
        <f t="shared" si="26"/>
        <v>0</v>
      </c>
      <c r="T42" s="216"/>
      <c r="U42" s="207"/>
      <c r="V42" s="216"/>
      <c r="W42" s="216"/>
      <c r="X42" s="216"/>
      <c r="Y42" s="213">
        <f t="shared" si="27"/>
        <v>0</v>
      </c>
      <c r="Z42" s="222" t="s">
        <v>1097</v>
      </c>
      <c r="AA42" s="228"/>
      <c r="AB42" s="218"/>
      <c r="AC42" s="220"/>
      <c r="AD42" s="220"/>
      <c r="AE42" s="220" t="str">
        <f t="shared" si="21"/>
        <v/>
      </c>
      <c r="AF42" s="229"/>
      <c r="AG42" s="220" t="str">
        <f t="shared" si="22"/>
        <v>2</v>
      </c>
      <c r="AH42" s="220" t="str">
        <f t="shared" si="23"/>
        <v>1</v>
      </c>
      <c r="AI42" s="220"/>
      <c r="AJ42" s="221" t="str">
        <f t="shared" si="24"/>
        <v>2</v>
      </c>
      <c r="AK42" s="220" t="str">
        <f t="shared" si="25"/>
        <v>2.1..2</v>
      </c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ht="16.5" customHeight="1" outlineLevel="2">
      <c r="A43" s="207">
        <f t="shared" si="17"/>
        <v>37</v>
      </c>
      <c r="B43" s="207">
        <v>14</v>
      </c>
      <c r="C43" s="245" t="s">
        <v>1157</v>
      </c>
      <c r="D43" s="209">
        <v>255.6425843877</v>
      </c>
      <c r="E43" s="504" t="s">
        <v>91</v>
      </c>
      <c r="F43" s="213">
        <f t="shared" si="18"/>
        <v>230.29</v>
      </c>
      <c r="G43" s="207"/>
      <c r="H43" s="223">
        <f t="shared" si="19"/>
        <v>2013</v>
      </c>
      <c r="I43" s="224" t="s">
        <v>1158</v>
      </c>
      <c r="J43" s="213"/>
      <c r="K43" s="213"/>
      <c r="L43" s="213"/>
      <c r="M43" s="213">
        <f t="shared" si="20"/>
        <v>0</v>
      </c>
      <c r="N43" s="207" t="s">
        <v>1076</v>
      </c>
      <c r="O43" s="231" t="s">
        <v>169</v>
      </c>
      <c r="P43" s="230">
        <v>230.29</v>
      </c>
      <c r="Q43" s="230">
        <v>0</v>
      </c>
      <c r="R43" s="230">
        <v>0</v>
      </c>
      <c r="S43" s="213">
        <f t="shared" si="26"/>
        <v>230.29</v>
      </c>
      <c r="T43" s="216"/>
      <c r="U43" s="207"/>
      <c r="V43" s="216"/>
      <c r="W43" s="216"/>
      <c r="X43" s="216"/>
      <c r="Y43" s="213">
        <f t="shared" si="27"/>
        <v>0</v>
      </c>
      <c r="Z43" s="222">
        <v>2020</v>
      </c>
      <c r="AA43" s="228"/>
      <c r="AB43" s="218"/>
      <c r="AC43" s="220"/>
      <c r="AD43" s="220"/>
      <c r="AE43" s="220" t="str">
        <f t="shared" si="21"/>
        <v>V</v>
      </c>
      <c r="AF43" s="229"/>
      <c r="AG43" s="220" t="str">
        <f t="shared" si="22"/>
        <v>2</v>
      </c>
      <c r="AH43" s="220" t="str">
        <f t="shared" si="23"/>
        <v>2</v>
      </c>
      <c r="AI43" s="220"/>
      <c r="AJ43" s="221" t="str">
        <f t="shared" si="24"/>
        <v>1</v>
      </c>
      <c r="AK43" s="220" t="str">
        <f t="shared" si="25"/>
        <v>2.2..1</v>
      </c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ht="16.5" customHeight="1" outlineLevel="2">
      <c r="A44" s="207">
        <f t="shared" si="17"/>
        <v>38</v>
      </c>
      <c r="B44" s="207">
        <v>15</v>
      </c>
      <c r="C44" s="245" t="s">
        <v>1159</v>
      </c>
      <c r="D44" s="209">
        <v>16244.202746448878</v>
      </c>
      <c r="E44" s="504" t="s">
        <v>661</v>
      </c>
      <c r="F44" s="213">
        <f t="shared" si="18"/>
        <v>0</v>
      </c>
      <c r="G44" s="207"/>
      <c r="H44" s="223" t="e">
        <f t="shared" si="19"/>
        <v>#VALUE!</v>
      </c>
      <c r="I44" s="212"/>
      <c r="J44" s="213"/>
      <c r="K44" s="213"/>
      <c r="L44" s="213"/>
      <c r="M44" s="213">
        <f t="shared" si="20"/>
        <v>0</v>
      </c>
      <c r="N44" s="207"/>
      <c r="O44" s="231"/>
      <c r="P44" s="230"/>
      <c r="Q44" s="230"/>
      <c r="R44" s="230"/>
      <c r="S44" s="213">
        <f t="shared" si="26"/>
        <v>0</v>
      </c>
      <c r="T44" s="216"/>
      <c r="U44" s="207"/>
      <c r="V44" s="216"/>
      <c r="W44" s="216"/>
      <c r="X44" s="216"/>
      <c r="Y44" s="213">
        <f t="shared" si="27"/>
        <v>0</v>
      </c>
      <c r="Z44" s="222">
        <v>2023</v>
      </c>
      <c r="AA44" s="228" t="s">
        <v>1160</v>
      </c>
      <c r="AB44" s="218"/>
      <c r="AC44" s="220"/>
      <c r="AD44" s="220"/>
      <c r="AE44" s="220" t="str">
        <f t="shared" si="21"/>
        <v/>
      </c>
      <c r="AF44" s="229"/>
      <c r="AG44" s="220" t="e">
        <f t="shared" si="22"/>
        <v>#VALUE!</v>
      </c>
      <c r="AH44" s="220" t="str">
        <f t="shared" si="23"/>
        <v>2</v>
      </c>
      <c r="AI44" s="220"/>
      <c r="AJ44" s="221" t="str">
        <f t="shared" si="24"/>
        <v>2</v>
      </c>
      <c r="AK44" s="220" t="e">
        <f t="shared" si="25"/>
        <v>#VALUE!</v>
      </c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ht="16.5" customHeight="1" outlineLevel="2">
      <c r="A45" s="207">
        <f t="shared" si="17"/>
        <v>39</v>
      </c>
      <c r="B45" s="207">
        <v>16</v>
      </c>
      <c r="C45" s="245" t="s">
        <v>1161</v>
      </c>
      <c r="D45" s="209">
        <v>174.52515702439661</v>
      </c>
      <c r="E45" s="504" t="s">
        <v>123</v>
      </c>
      <c r="F45" s="213">
        <f t="shared" si="18"/>
        <v>0</v>
      </c>
      <c r="G45" s="207"/>
      <c r="H45" s="223">
        <f t="shared" si="19"/>
        <v>2017</v>
      </c>
      <c r="I45" s="224" t="s">
        <v>173</v>
      </c>
      <c r="J45" s="213"/>
      <c r="K45" s="213"/>
      <c r="L45" s="213"/>
      <c r="M45" s="213">
        <f t="shared" si="20"/>
        <v>0</v>
      </c>
      <c r="N45" s="207"/>
      <c r="O45" s="231"/>
      <c r="P45" s="230"/>
      <c r="Q45" s="230"/>
      <c r="R45" s="230"/>
      <c r="S45" s="213">
        <f t="shared" si="26"/>
        <v>0</v>
      </c>
      <c r="T45" s="216"/>
      <c r="U45" s="207"/>
      <c r="V45" s="216"/>
      <c r="W45" s="216"/>
      <c r="X45" s="216"/>
      <c r="Y45" s="213">
        <f t="shared" si="27"/>
        <v>0</v>
      </c>
      <c r="Z45" s="222" t="s">
        <v>1097</v>
      </c>
      <c r="AA45" s="228"/>
      <c r="AB45" s="218"/>
      <c r="AC45" s="220"/>
      <c r="AD45" s="220"/>
      <c r="AE45" s="220" t="str">
        <f t="shared" si="21"/>
        <v/>
      </c>
      <c r="AF45" s="229"/>
      <c r="AG45" s="220" t="str">
        <f t="shared" si="22"/>
        <v>2</v>
      </c>
      <c r="AH45" s="220" t="str">
        <f t="shared" si="23"/>
        <v>2</v>
      </c>
      <c r="AI45" s="220"/>
      <c r="AJ45" s="221" t="str">
        <f t="shared" si="24"/>
        <v>2</v>
      </c>
      <c r="AK45" s="220" t="str">
        <f t="shared" si="25"/>
        <v>2.2..2</v>
      </c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ht="16.5" customHeight="1" outlineLevel="2">
      <c r="A46" s="207">
        <f t="shared" si="17"/>
        <v>40</v>
      </c>
      <c r="B46" s="207">
        <v>17</v>
      </c>
      <c r="C46" s="245" t="s">
        <v>1162</v>
      </c>
      <c r="D46" s="209">
        <v>11992.592601741591</v>
      </c>
      <c r="E46" s="504" t="s">
        <v>123</v>
      </c>
      <c r="F46" s="213">
        <f t="shared" si="18"/>
        <v>0</v>
      </c>
      <c r="G46" s="207"/>
      <c r="H46" s="223">
        <f t="shared" si="19"/>
        <v>2015</v>
      </c>
      <c r="I46" s="224" t="s">
        <v>175</v>
      </c>
      <c r="J46" s="213"/>
      <c r="K46" s="213"/>
      <c r="L46" s="213"/>
      <c r="M46" s="213">
        <f t="shared" si="20"/>
        <v>0</v>
      </c>
      <c r="N46" s="207"/>
      <c r="O46" s="231"/>
      <c r="P46" s="230"/>
      <c r="Q46" s="230"/>
      <c r="R46" s="230"/>
      <c r="S46" s="213">
        <f t="shared" si="26"/>
        <v>0</v>
      </c>
      <c r="T46" s="216"/>
      <c r="U46" s="207"/>
      <c r="V46" s="216"/>
      <c r="W46" s="216"/>
      <c r="X46" s="216"/>
      <c r="Y46" s="213">
        <f t="shared" si="27"/>
        <v>0</v>
      </c>
      <c r="Z46" s="222" t="s">
        <v>1097</v>
      </c>
      <c r="AA46" s="228"/>
      <c r="AB46" s="218"/>
      <c r="AC46" s="220"/>
      <c r="AD46" s="220"/>
      <c r="AE46" s="220" t="str">
        <f t="shared" si="21"/>
        <v/>
      </c>
      <c r="AF46" s="229"/>
      <c r="AG46" s="220" t="str">
        <f t="shared" si="22"/>
        <v>2</v>
      </c>
      <c r="AH46" s="220" t="str">
        <f t="shared" si="23"/>
        <v>2</v>
      </c>
      <c r="AI46" s="220"/>
      <c r="AJ46" s="221" t="str">
        <f t="shared" si="24"/>
        <v>2</v>
      </c>
      <c r="AK46" s="220" t="str">
        <f t="shared" si="25"/>
        <v>2.2..2</v>
      </c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ht="16.5" customHeight="1" outlineLevel="2">
      <c r="A47" s="207">
        <f t="shared" si="17"/>
        <v>41</v>
      </c>
      <c r="B47" s="207">
        <v>18</v>
      </c>
      <c r="C47" s="245" t="s">
        <v>1163</v>
      </c>
      <c r="D47" s="209">
        <v>19432.11538486222</v>
      </c>
      <c r="E47" s="504" t="s">
        <v>91</v>
      </c>
      <c r="F47" s="213">
        <f t="shared" si="18"/>
        <v>22959.02</v>
      </c>
      <c r="G47" s="207"/>
      <c r="H47" s="223">
        <f t="shared" si="19"/>
        <v>2013</v>
      </c>
      <c r="I47" s="224" t="s">
        <v>941</v>
      </c>
      <c r="J47" s="213"/>
      <c r="K47" s="213"/>
      <c r="L47" s="213"/>
      <c r="M47" s="213">
        <f t="shared" si="20"/>
        <v>0</v>
      </c>
      <c r="N47" s="207"/>
      <c r="O47" s="231"/>
      <c r="P47" s="230"/>
      <c r="Q47" s="230"/>
      <c r="R47" s="230"/>
      <c r="S47" s="213">
        <f t="shared" si="26"/>
        <v>0</v>
      </c>
      <c r="T47" s="216" t="s">
        <v>1076</v>
      </c>
      <c r="U47" s="207" t="s">
        <v>177</v>
      </c>
      <c r="V47" s="216">
        <v>22959.02</v>
      </c>
      <c r="W47" s="216"/>
      <c r="X47" s="216"/>
      <c r="Y47" s="213">
        <f t="shared" si="27"/>
        <v>22959.02</v>
      </c>
      <c r="Z47" s="222">
        <v>2021</v>
      </c>
      <c r="AA47" s="228"/>
      <c r="AB47" s="218"/>
      <c r="AC47" s="220"/>
      <c r="AD47" s="220"/>
      <c r="AE47" s="220" t="str">
        <f t="shared" si="21"/>
        <v>V</v>
      </c>
      <c r="AF47" s="229"/>
      <c r="AG47" s="220" t="str">
        <f t="shared" si="22"/>
        <v>2</v>
      </c>
      <c r="AH47" s="220" t="str">
        <f t="shared" si="23"/>
        <v>2</v>
      </c>
      <c r="AI47" s="220"/>
      <c r="AJ47" s="221" t="str">
        <f t="shared" si="24"/>
        <v>1</v>
      </c>
      <c r="AK47" s="220" t="str">
        <f t="shared" si="25"/>
        <v>2.2..1</v>
      </c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ht="16.5" customHeight="1" outlineLevel="2">
      <c r="A48" s="207">
        <f t="shared" si="17"/>
        <v>42</v>
      </c>
      <c r="B48" s="207">
        <v>19</v>
      </c>
      <c r="C48" s="245" t="s">
        <v>1164</v>
      </c>
      <c r="D48" s="209">
        <v>11581.041967391473</v>
      </c>
      <c r="E48" s="504" t="s">
        <v>91</v>
      </c>
      <c r="F48" s="213">
        <f t="shared" si="18"/>
        <v>12790.44</v>
      </c>
      <c r="G48" s="207"/>
      <c r="H48" s="223" t="e">
        <f t="shared" si="19"/>
        <v>#VALUE!</v>
      </c>
      <c r="I48" s="212"/>
      <c r="J48" s="213"/>
      <c r="K48" s="213"/>
      <c r="L48" s="213"/>
      <c r="M48" s="213">
        <f t="shared" si="20"/>
        <v>0</v>
      </c>
      <c r="N48" s="207"/>
      <c r="O48" s="231"/>
      <c r="P48" s="230"/>
      <c r="Q48" s="230"/>
      <c r="R48" s="230"/>
      <c r="S48" s="213">
        <f t="shared" si="26"/>
        <v>0</v>
      </c>
      <c r="T48" s="216" t="s">
        <v>1076</v>
      </c>
      <c r="U48" s="207" t="s">
        <v>179</v>
      </c>
      <c r="V48" s="216">
        <v>12790.44</v>
      </c>
      <c r="W48" s="216"/>
      <c r="X48" s="216"/>
      <c r="Y48" s="213">
        <f t="shared" si="27"/>
        <v>12790.44</v>
      </c>
      <c r="Z48" s="222">
        <v>2021</v>
      </c>
      <c r="AA48" s="228"/>
      <c r="AB48" s="218"/>
      <c r="AC48" s="220"/>
      <c r="AD48" s="220"/>
      <c r="AE48" s="220" t="str">
        <f t="shared" si="21"/>
        <v>V</v>
      </c>
      <c r="AF48" s="229"/>
      <c r="AG48" s="220" t="e">
        <f t="shared" si="22"/>
        <v>#VALUE!</v>
      </c>
      <c r="AH48" s="220" t="str">
        <f t="shared" si="23"/>
        <v>2</v>
      </c>
      <c r="AI48" s="220"/>
      <c r="AJ48" s="221" t="str">
        <f t="shared" si="24"/>
        <v>1</v>
      </c>
      <c r="AK48" s="220" t="e">
        <f t="shared" si="25"/>
        <v>#VALUE!</v>
      </c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ht="16.5" customHeight="1" outlineLevel="2">
      <c r="A49" s="207">
        <f t="shared" si="17"/>
        <v>43</v>
      </c>
      <c r="B49" s="207">
        <v>20</v>
      </c>
      <c r="C49" s="245" t="s">
        <v>1165</v>
      </c>
      <c r="D49" s="209">
        <v>5985.3309156194109</v>
      </c>
      <c r="E49" s="504" t="s">
        <v>104</v>
      </c>
      <c r="F49" s="213">
        <f t="shared" si="18"/>
        <v>7119.53</v>
      </c>
      <c r="G49" s="207"/>
      <c r="H49" s="223">
        <f t="shared" si="19"/>
        <v>2014</v>
      </c>
      <c r="I49" s="224" t="s">
        <v>321</v>
      </c>
      <c r="J49" s="213">
        <v>7119.53</v>
      </c>
      <c r="K49" s="213">
        <v>0</v>
      </c>
      <c r="L49" s="213">
        <v>7119.53</v>
      </c>
      <c r="M49" s="213">
        <f t="shared" si="20"/>
        <v>7119.53</v>
      </c>
      <c r="N49" s="207"/>
      <c r="O49" s="231" t="s">
        <v>349</v>
      </c>
      <c r="P49" s="621" t="s">
        <v>1166</v>
      </c>
      <c r="Q49" s="564"/>
      <c r="R49" s="559"/>
      <c r="S49" s="213"/>
      <c r="T49" s="216"/>
      <c r="U49" s="207"/>
      <c r="V49" s="216"/>
      <c r="W49" s="216"/>
      <c r="X49" s="216"/>
      <c r="Y49" s="213"/>
      <c r="Z49" s="222" t="s">
        <v>1129</v>
      </c>
      <c r="AA49" s="228" t="s">
        <v>1090</v>
      </c>
      <c r="AB49" s="218"/>
      <c r="AC49" s="220"/>
      <c r="AD49" s="220"/>
      <c r="AE49" s="220" t="str">
        <f t="shared" si="21"/>
        <v/>
      </c>
      <c r="AF49" s="229"/>
      <c r="AG49" s="220" t="str">
        <f t="shared" si="22"/>
        <v>2</v>
      </c>
      <c r="AH49" s="220" t="str">
        <f t="shared" si="23"/>
        <v>1</v>
      </c>
      <c r="AI49" s="220"/>
      <c r="AJ49" s="221" t="str">
        <f t="shared" si="24"/>
        <v>2</v>
      </c>
      <c r="AK49" s="220" t="str">
        <f t="shared" si="25"/>
        <v>2.1..2</v>
      </c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ht="16.5" customHeight="1" outlineLevel="2">
      <c r="A50" s="207">
        <f t="shared" si="17"/>
        <v>44</v>
      </c>
      <c r="B50" s="207">
        <v>21</v>
      </c>
      <c r="C50" s="245" t="s">
        <v>1167</v>
      </c>
      <c r="D50" s="209">
        <v>1803.7806697198953</v>
      </c>
      <c r="E50" s="504" t="s">
        <v>123</v>
      </c>
      <c r="F50" s="213">
        <f t="shared" si="18"/>
        <v>0</v>
      </c>
      <c r="G50" s="207"/>
      <c r="H50" s="223" t="e">
        <f t="shared" si="19"/>
        <v>#VALUE!</v>
      </c>
      <c r="I50" s="212"/>
      <c r="J50" s="213"/>
      <c r="K50" s="213"/>
      <c r="L50" s="213"/>
      <c r="M50" s="213">
        <f t="shared" si="20"/>
        <v>0</v>
      </c>
      <c r="N50" s="207"/>
      <c r="O50" s="505" t="s">
        <v>1168</v>
      </c>
      <c r="P50" s="230"/>
      <c r="Q50" s="230"/>
      <c r="R50" s="230"/>
      <c r="S50" s="213">
        <f t="shared" ref="S50:S62" si="28">IF(R50&gt;0,R50,IF(P50&gt;0,P50,0))</f>
        <v>0</v>
      </c>
      <c r="T50" s="216"/>
      <c r="U50" s="207"/>
      <c r="V50" s="216"/>
      <c r="W50" s="216"/>
      <c r="X50" s="216"/>
      <c r="Y50" s="213">
        <f t="shared" ref="Y50:Y62" si="29">IF(X50&gt;0,X50,IF(V50&gt;0,V50,0))</f>
        <v>0</v>
      </c>
      <c r="Z50" s="222" t="s">
        <v>1129</v>
      </c>
      <c r="AA50" s="228" t="s">
        <v>1090</v>
      </c>
      <c r="AB50" s="218"/>
      <c r="AC50" s="220"/>
      <c r="AD50" s="220"/>
      <c r="AE50" s="220" t="str">
        <f t="shared" si="21"/>
        <v/>
      </c>
      <c r="AF50" s="229"/>
      <c r="AG50" s="220" t="e">
        <f t="shared" si="22"/>
        <v>#VALUE!</v>
      </c>
      <c r="AH50" s="220" t="str">
        <f t="shared" si="23"/>
        <v>2</v>
      </c>
      <c r="AI50" s="220"/>
      <c r="AJ50" s="221" t="str">
        <f t="shared" si="24"/>
        <v>2</v>
      </c>
      <c r="AK50" s="220" t="e">
        <f t="shared" si="25"/>
        <v>#VALUE!</v>
      </c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ht="16.5" customHeight="1" outlineLevel="2">
      <c r="A51" s="207">
        <f t="shared" si="17"/>
        <v>45</v>
      </c>
      <c r="B51" s="207">
        <v>22</v>
      </c>
      <c r="C51" s="245" t="s">
        <v>1169</v>
      </c>
      <c r="D51" s="209">
        <v>8619.8457677146998</v>
      </c>
      <c r="E51" s="504" t="s">
        <v>104</v>
      </c>
      <c r="F51" s="213">
        <f t="shared" si="18"/>
        <v>14925</v>
      </c>
      <c r="G51" s="207"/>
      <c r="H51" s="223">
        <f t="shared" si="19"/>
        <v>2014</v>
      </c>
      <c r="I51" s="212" t="s">
        <v>185</v>
      </c>
      <c r="J51" s="213">
        <v>14925</v>
      </c>
      <c r="K51" s="213">
        <v>0</v>
      </c>
      <c r="L51" s="213">
        <v>14925</v>
      </c>
      <c r="M51" s="213">
        <f t="shared" si="20"/>
        <v>14925</v>
      </c>
      <c r="N51" s="207"/>
      <c r="O51" s="231"/>
      <c r="P51" s="230"/>
      <c r="Q51" s="230"/>
      <c r="R51" s="230"/>
      <c r="S51" s="213">
        <f t="shared" si="28"/>
        <v>0</v>
      </c>
      <c r="T51" s="216"/>
      <c r="U51" s="207"/>
      <c r="V51" s="216"/>
      <c r="W51" s="216"/>
      <c r="X51" s="216"/>
      <c r="Y51" s="213">
        <f t="shared" si="29"/>
        <v>0</v>
      </c>
      <c r="Z51" s="222" t="s">
        <v>1129</v>
      </c>
      <c r="AA51" s="228" t="s">
        <v>1090</v>
      </c>
      <c r="AB51" s="218"/>
      <c r="AC51" s="220"/>
      <c r="AD51" s="220"/>
      <c r="AE51" s="220" t="str">
        <f t="shared" si="21"/>
        <v/>
      </c>
      <c r="AF51" s="229"/>
      <c r="AG51" s="220" t="str">
        <f t="shared" si="22"/>
        <v>2</v>
      </c>
      <c r="AH51" s="220" t="str">
        <f t="shared" si="23"/>
        <v>1</v>
      </c>
      <c r="AI51" s="220"/>
      <c r="AJ51" s="221" t="str">
        <f t="shared" si="24"/>
        <v>2</v>
      </c>
      <c r="AK51" s="220" t="str">
        <f t="shared" si="25"/>
        <v>2.1..2</v>
      </c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ht="16.5" customHeight="1" outlineLevel="2">
      <c r="A52" s="207">
        <f t="shared" si="17"/>
        <v>46</v>
      </c>
      <c r="B52" s="207">
        <v>23</v>
      </c>
      <c r="C52" s="245" t="s">
        <v>1170</v>
      </c>
      <c r="D52" s="209">
        <v>7172.868078957229</v>
      </c>
      <c r="E52" s="504" t="s">
        <v>123</v>
      </c>
      <c r="F52" s="213">
        <f t="shared" si="18"/>
        <v>0</v>
      </c>
      <c r="G52" s="207"/>
      <c r="H52" s="223" t="e">
        <f t="shared" si="19"/>
        <v>#VALUE!</v>
      </c>
      <c r="I52" s="212"/>
      <c r="J52" s="213"/>
      <c r="K52" s="213"/>
      <c r="L52" s="213"/>
      <c r="M52" s="213">
        <f t="shared" si="20"/>
        <v>0</v>
      </c>
      <c r="N52" s="207"/>
      <c r="O52" s="231" t="s">
        <v>187</v>
      </c>
      <c r="P52" s="230">
        <v>0</v>
      </c>
      <c r="Q52" s="230">
        <v>0</v>
      </c>
      <c r="R52" s="230">
        <v>0</v>
      </c>
      <c r="S52" s="213">
        <f t="shared" si="28"/>
        <v>0</v>
      </c>
      <c r="T52" s="216"/>
      <c r="U52" s="207"/>
      <c r="V52" s="216"/>
      <c r="W52" s="216"/>
      <c r="X52" s="216"/>
      <c r="Y52" s="213">
        <f t="shared" si="29"/>
        <v>0</v>
      </c>
      <c r="Z52" s="222" t="s">
        <v>1129</v>
      </c>
      <c r="AA52" s="228" t="s">
        <v>1090</v>
      </c>
      <c r="AB52" s="218"/>
      <c r="AC52" s="220"/>
      <c r="AD52" s="220"/>
      <c r="AE52" s="220" t="str">
        <f t="shared" si="21"/>
        <v/>
      </c>
      <c r="AF52" s="229"/>
      <c r="AG52" s="220" t="e">
        <f t="shared" si="22"/>
        <v>#VALUE!</v>
      </c>
      <c r="AH52" s="220" t="str">
        <f t="shared" si="23"/>
        <v>2</v>
      </c>
      <c r="AI52" s="220"/>
      <c r="AJ52" s="221" t="str">
        <f t="shared" si="24"/>
        <v>2</v>
      </c>
      <c r="AK52" s="220" t="e">
        <f t="shared" si="25"/>
        <v>#VALUE!</v>
      </c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ht="16.5" customHeight="1" outlineLevel="2">
      <c r="A53" s="207">
        <f t="shared" si="17"/>
        <v>47</v>
      </c>
      <c r="B53" s="207">
        <v>24</v>
      </c>
      <c r="C53" s="245" t="s">
        <v>1171</v>
      </c>
      <c r="D53" s="209">
        <v>5732.0075520253959</v>
      </c>
      <c r="E53" s="504" t="s">
        <v>661</v>
      </c>
      <c r="F53" s="213">
        <f t="shared" si="18"/>
        <v>0</v>
      </c>
      <c r="G53" s="207"/>
      <c r="H53" s="223" t="e">
        <f t="shared" si="19"/>
        <v>#VALUE!</v>
      </c>
      <c r="I53" s="212"/>
      <c r="J53" s="213"/>
      <c r="K53" s="213"/>
      <c r="L53" s="213"/>
      <c r="M53" s="213">
        <f t="shared" si="20"/>
        <v>0</v>
      </c>
      <c r="N53" s="207"/>
      <c r="O53" s="231"/>
      <c r="P53" s="230"/>
      <c r="Q53" s="230"/>
      <c r="R53" s="230"/>
      <c r="S53" s="213">
        <f t="shared" si="28"/>
        <v>0</v>
      </c>
      <c r="T53" s="216"/>
      <c r="U53" s="207"/>
      <c r="V53" s="216"/>
      <c r="W53" s="216"/>
      <c r="X53" s="216"/>
      <c r="Y53" s="213">
        <f t="shared" si="29"/>
        <v>0</v>
      </c>
      <c r="Z53" s="222" t="s">
        <v>1097</v>
      </c>
      <c r="AA53" s="228"/>
      <c r="AB53" s="218"/>
      <c r="AC53" s="220"/>
      <c r="AD53" s="220"/>
      <c r="AE53" s="220" t="str">
        <f t="shared" si="21"/>
        <v/>
      </c>
      <c r="AF53" s="229"/>
      <c r="AG53" s="220" t="e">
        <f t="shared" si="22"/>
        <v>#VALUE!</v>
      </c>
      <c r="AH53" s="220" t="str">
        <f t="shared" si="23"/>
        <v>2</v>
      </c>
      <c r="AI53" s="220"/>
      <c r="AJ53" s="221" t="str">
        <f t="shared" si="24"/>
        <v>2</v>
      </c>
      <c r="AK53" s="220" t="e">
        <f t="shared" si="25"/>
        <v>#VALUE!</v>
      </c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ht="16.5" customHeight="1" outlineLevel="2">
      <c r="A54" s="207">
        <f t="shared" si="17"/>
        <v>48</v>
      </c>
      <c r="B54" s="207">
        <v>25</v>
      </c>
      <c r="C54" s="245" t="s">
        <v>1172</v>
      </c>
      <c r="D54" s="209">
        <v>6853.9901522076962</v>
      </c>
      <c r="E54" s="504" t="s">
        <v>123</v>
      </c>
      <c r="F54" s="213">
        <f t="shared" si="18"/>
        <v>0</v>
      </c>
      <c r="G54" s="207"/>
      <c r="H54" s="223">
        <f t="shared" si="19"/>
        <v>2015</v>
      </c>
      <c r="I54" s="224" t="s">
        <v>212</v>
      </c>
      <c r="J54" s="213"/>
      <c r="K54" s="213"/>
      <c r="L54" s="213"/>
      <c r="M54" s="213">
        <f t="shared" si="20"/>
        <v>0</v>
      </c>
      <c r="N54" s="207"/>
      <c r="O54" s="231" t="s">
        <v>191</v>
      </c>
      <c r="P54" s="230">
        <v>0</v>
      </c>
      <c r="Q54" s="230">
        <v>0</v>
      </c>
      <c r="R54" s="230">
        <v>0</v>
      </c>
      <c r="S54" s="213">
        <f t="shared" si="28"/>
        <v>0</v>
      </c>
      <c r="T54" s="216"/>
      <c r="U54" s="207"/>
      <c r="V54" s="216"/>
      <c r="W54" s="216"/>
      <c r="X54" s="216"/>
      <c r="Y54" s="213">
        <f t="shared" si="29"/>
        <v>0</v>
      </c>
      <c r="Z54" s="222" t="s">
        <v>1097</v>
      </c>
      <c r="AA54" s="228"/>
      <c r="AB54" s="218"/>
      <c r="AC54" s="220"/>
      <c r="AD54" s="220"/>
      <c r="AE54" s="220" t="str">
        <f t="shared" si="21"/>
        <v/>
      </c>
      <c r="AF54" s="229"/>
      <c r="AG54" s="220" t="str">
        <f t="shared" si="22"/>
        <v>2</v>
      </c>
      <c r="AH54" s="220" t="str">
        <f t="shared" si="23"/>
        <v>2</v>
      </c>
      <c r="AI54" s="220"/>
      <c r="AJ54" s="221" t="str">
        <f t="shared" si="24"/>
        <v>2</v>
      </c>
      <c r="AK54" s="220" t="str">
        <f t="shared" si="25"/>
        <v>2.2..2</v>
      </c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ht="16.5" customHeight="1" outlineLevel="2">
      <c r="A55" s="207">
        <f t="shared" si="17"/>
        <v>49</v>
      </c>
      <c r="B55" s="207">
        <v>26</v>
      </c>
      <c r="C55" s="245" t="s">
        <v>1173</v>
      </c>
      <c r="D55" s="209">
        <v>1121.316687374479</v>
      </c>
      <c r="E55" s="504" t="s">
        <v>104</v>
      </c>
      <c r="F55" s="213">
        <f t="shared" si="18"/>
        <v>5093</v>
      </c>
      <c r="G55" s="207"/>
      <c r="H55" s="223">
        <f t="shared" si="19"/>
        <v>2016</v>
      </c>
      <c r="I55" s="224" t="s">
        <v>193</v>
      </c>
      <c r="J55" s="213">
        <v>5093</v>
      </c>
      <c r="K55" s="213">
        <v>0</v>
      </c>
      <c r="L55" s="213">
        <v>5093</v>
      </c>
      <c r="M55" s="213">
        <f t="shared" si="20"/>
        <v>5093</v>
      </c>
      <c r="N55" s="207"/>
      <c r="O55" s="231"/>
      <c r="P55" s="230"/>
      <c r="Q55" s="230"/>
      <c r="R55" s="230"/>
      <c r="S55" s="213">
        <f t="shared" si="28"/>
        <v>0</v>
      </c>
      <c r="T55" s="216"/>
      <c r="U55" s="207"/>
      <c r="V55" s="216"/>
      <c r="W55" s="216"/>
      <c r="X55" s="216"/>
      <c r="Y55" s="213">
        <f t="shared" si="29"/>
        <v>0</v>
      </c>
      <c r="Z55" s="222" t="s">
        <v>1097</v>
      </c>
      <c r="AA55" s="228"/>
      <c r="AB55" s="218"/>
      <c r="AC55" s="220"/>
      <c r="AD55" s="220"/>
      <c r="AE55" s="220" t="str">
        <f t="shared" si="21"/>
        <v/>
      </c>
      <c r="AF55" s="229"/>
      <c r="AG55" s="220" t="str">
        <f t="shared" si="22"/>
        <v>2</v>
      </c>
      <c r="AH55" s="220" t="str">
        <f t="shared" si="23"/>
        <v>1</v>
      </c>
      <c r="AI55" s="220"/>
      <c r="AJ55" s="221" t="str">
        <f t="shared" si="24"/>
        <v>2</v>
      </c>
      <c r="AK55" s="220" t="str">
        <f t="shared" si="25"/>
        <v>2.1..2</v>
      </c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ht="16.5" customHeight="1" outlineLevel="2">
      <c r="A56" s="207">
        <f t="shared" si="17"/>
        <v>50</v>
      </c>
      <c r="B56" s="207">
        <v>27</v>
      </c>
      <c r="C56" s="208" t="s">
        <v>1174</v>
      </c>
      <c r="D56" s="247">
        <v>7289.1745488215875</v>
      </c>
      <c r="E56" s="504" t="s">
        <v>91</v>
      </c>
      <c r="F56" s="213">
        <f>Y56</f>
        <v>17558</v>
      </c>
      <c r="G56" s="207"/>
      <c r="H56" s="223">
        <f t="shared" si="19"/>
        <v>2018</v>
      </c>
      <c r="I56" s="224" t="s">
        <v>438</v>
      </c>
      <c r="J56" s="213">
        <f t="shared" ref="J56:L56" si="30">SUM(J30:J55)</f>
        <v>27497.14</v>
      </c>
      <c r="K56" s="213">
        <f t="shared" si="30"/>
        <v>0</v>
      </c>
      <c r="L56" s="213">
        <f t="shared" si="30"/>
        <v>94990.36</v>
      </c>
      <c r="M56" s="213">
        <f t="shared" si="20"/>
        <v>94990.36</v>
      </c>
      <c r="N56" s="207"/>
      <c r="O56" s="231"/>
      <c r="P56" s="230"/>
      <c r="Q56" s="230"/>
      <c r="R56" s="230"/>
      <c r="S56" s="213">
        <f t="shared" si="28"/>
        <v>0</v>
      </c>
      <c r="T56" s="216" t="s">
        <v>1076</v>
      </c>
      <c r="U56" s="207" t="s">
        <v>195</v>
      </c>
      <c r="V56" s="216">
        <v>17558</v>
      </c>
      <c r="W56" s="216"/>
      <c r="X56" s="216"/>
      <c r="Y56" s="213">
        <f t="shared" si="29"/>
        <v>17558</v>
      </c>
      <c r="Z56" s="222">
        <v>2020</v>
      </c>
      <c r="AA56" s="228"/>
      <c r="AB56" s="218"/>
      <c r="AC56" s="220"/>
      <c r="AD56" s="220"/>
      <c r="AE56" s="220" t="str">
        <f t="shared" si="21"/>
        <v>V</v>
      </c>
      <c r="AF56" s="229"/>
      <c r="AG56" s="220" t="str">
        <f t="shared" si="22"/>
        <v>2</v>
      </c>
      <c r="AH56" s="220" t="str">
        <f t="shared" si="23"/>
        <v>1</v>
      </c>
      <c r="AI56" s="220"/>
      <c r="AJ56" s="221" t="str">
        <f t="shared" si="24"/>
        <v>1</v>
      </c>
      <c r="AK56" s="220" t="str">
        <f t="shared" si="25"/>
        <v>2.1..1</v>
      </c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ht="16.5" customHeight="1" outlineLevel="2">
      <c r="A57" s="207">
        <f t="shared" si="17"/>
        <v>51</v>
      </c>
      <c r="B57" s="207">
        <v>28</v>
      </c>
      <c r="C57" s="245" t="s">
        <v>1175</v>
      </c>
      <c r="D57" s="209">
        <v>28024.873580235962</v>
      </c>
      <c r="E57" s="504" t="s">
        <v>91</v>
      </c>
      <c r="F57" s="213">
        <f t="shared" ref="F57:F62" si="31">IF(M57&gt;0,M57,IF(S57&gt;0,S57,IF(Y57&gt;0,Y57,0)))</f>
        <v>29048</v>
      </c>
      <c r="G57" s="207" t="s">
        <v>1076</v>
      </c>
      <c r="H57" s="223">
        <f t="shared" si="19"/>
        <v>2021</v>
      </c>
      <c r="I57" s="224" t="s">
        <v>149</v>
      </c>
      <c r="J57" s="246">
        <v>0</v>
      </c>
      <c r="K57" s="246">
        <v>0</v>
      </c>
      <c r="L57" s="246">
        <v>29048</v>
      </c>
      <c r="M57" s="213">
        <f t="shared" si="20"/>
        <v>29048</v>
      </c>
      <c r="N57" s="207"/>
      <c r="O57" s="231" t="s">
        <v>780</v>
      </c>
      <c r="P57" s="230">
        <v>0</v>
      </c>
      <c r="Q57" s="230">
        <v>0</v>
      </c>
      <c r="R57" s="230">
        <v>0</v>
      </c>
      <c r="S57" s="213">
        <f t="shared" si="28"/>
        <v>0</v>
      </c>
      <c r="T57" s="216"/>
      <c r="U57" s="207"/>
      <c r="V57" s="216"/>
      <c r="W57" s="216"/>
      <c r="X57" s="216"/>
      <c r="Y57" s="213">
        <f t="shared" si="29"/>
        <v>0</v>
      </c>
      <c r="Z57" s="222">
        <v>2021</v>
      </c>
      <c r="AA57" s="228"/>
      <c r="AB57" s="218"/>
      <c r="AC57" s="220"/>
      <c r="AD57" s="220"/>
      <c r="AE57" s="220" t="str">
        <f t="shared" si="21"/>
        <v>V</v>
      </c>
      <c r="AF57" s="229"/>
      <c r="AG57" s="220" t="str">
        <f t="shared" si="22"/>
        <v>1</v>
      </c>
      <c r="AH57" s="220" t="str">
        <f t="shared" si="23"/>
        <v>1</v>
      </c>
      <c r="AI57" s="220"/>
      <c r="AJ57" s="221" t="str">
        <f t="shared" si="24"/>
        <v>2</v>
      </c>
      <c r="AK57" s="220" t="str">
        <f t="shared" si="25"/>
        <v>1.1..2</v>
      </c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ht="16.5" customHeight="1" outlineLevel="2">
      <c r="A58" s="207">
        <f t="shared" si="17"/>
        <v>52</v>
      </c>
      <c r="B58" s="207">
        <v>29</v>
      </c>
      <c r="C58" s="245" t="s">
        <v>1176</v>
      </c>
      <c r="D58" s="209">
        <v>25342.688443598079</v>
      </c>
      <c r="E58" s="504" t="s">
        <v>123</v>
      </c>
      <c r="F58" s="213">
        <f t="shared" si="31"/>
        <v>0</v>
      </c>
      <c r="G58" s="207"/>
      <c r="H58" s="223">
        <f t="shared" si="19"/>
        <v>2017</v>
      </c>
      <c r="I58" s="248" t="s">
        <v>200</v>
      </c>
      <c r="J58" s="246"/>
      <c r="K58" s="246"/>
      <c r="L58" s="246"/>
      <c r="M58" s="213">
        <f t="shared" si="20"/>
        <v>0</v>
      </c>
      <c r="N58" s="207"/>
      <c r="O58" s="231"/>
      <c r="P58" s="230"/>
      <c r="Q58" s="230"/>
      <c r="R58" s="230"/>
      <c r="S58" s="213">
        <f t="shared" si="28"/>
        <v>0</v>
      </c>
      <c r="T58" s="216"/>
      <c r="U58" s="207"/>
      <c r="V58" s="216"/>
      <c r="W58" s="216"/>
      <c r="X58" s="216"/>
      <c r="Y58" s="213">
        <f t="shared" si="29"/>
        <v>0</v>
      </c>
      <c r="Z58" s="222" t="s">
        <v>1177</v>
      </c>
      <c r="AA58" s="228"/>
      <c r="AB58" s="218"/>
      <c r="AC58" s="220"/>
      <c r="AD58" s="220"/>
      <c r="AE58" s="220" t="str">
        <f t="shared" si="21"/>
        <v/>
      </c>
      <c r="AF58" s="229"/>
      <c r="AG58" s="220" t="str">
        <f t="shared" si="22"/>
        <v>2</v>
      </c>
      <c r="AH58" s="220" t="str">
        <f t="shared" si="23"/>
        <v>2</v>
      </c>
      <c r="AI58" s="220"/>
      <c r="AJ58" s="221" t="str">
        <f t="shared" si="24"/>
        <v>2</v>
      </c>
      <c r="AK58" s="220" t="str">
        <f t="shared" si="25"/>
        <v>2.2..2</v>
      </c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ht="16.5" customHeight="1" outlineLevel="2">
      <c r="A59" s="207">
        <f t="shared" si="17"/>
        <v>53</v>
      </c>
      <c r="B59" s="207">
        <v>30</v>
      </c>
      <c r="C59" s="245" t="s">
        <v>1178</v>
      </c>
      <c r="D59" s="209">
        <v>12377.260492368505</v>
      </c>
      <c r="E59" s="504" t="s">
        <v>661</v>
      </c>
      <c r="F59" s="213">
        <f t="shared" si="31"/>
        <v>0</v>
      </c>
      <c r="G59" s="207"/>
      <c r="H59" s="223" t="e">
        <f t="shared" si="19"/>
        <v>#VALUE!</v>
      </c>
      <c r="J59" s="246"/>
      <c r="K59" s="246"/>
      <c r="L59" s="246"/>
      <c r="M59" s="213">
        <f t="shared" si="20"/>
        <v>0</v>
      </c>
      <c r="N59" s="207"/>
      <c r="O59" s="231"/>
      <c r="P59" s="230"/>
      <c r="Q59" s="230"/>
      <c r="R59" s="230"/>
      <c r="S59" s="213">
        <f t="shared" si="28"/>
        <v>0</v>
      </c>
      <c r="T59" s="216"/>
      <c r="U59" s="207"/>
      <c r="V59" s="216"/>
      <c r="W59" s="216"/>
      <c r="X59" s="216"/>
      <c r="Y59" s="213">
        <f t="shared" si="29"/>
        <v>0</v>
      </c>
      <c r="Z59" s="222" t="s">
        <v>1097</v>
      </c>
      <c r="AA59" s="228"/>
      <c r="AB59" s="218"/>
      <c r="AC59" s="220"/>
      <c r="AD59" s="220"/>
      <c r="AE59" s="220" t="str">
        <f t="shared" si="21"/>
        <v/>
      </c>
      <c r="AF59" s="229"/>
      <c r="AG59" s="220" t="e">
        <f t="shared" si="22"/>
        <v>#VALUE!</v>
      </c>
      <c r="AH59" s="220" t="str">
        <f t="shared" si="23"/>
        <v>2</v>
      </c>
      <c r="AI59" s="220"/>
      <c r="AJ59" s="221" t="str">
        <f t="shared" si="24"/>
        <v>2</v>
      </c>
      <c r="AK59" s="220" t="e">
        <f t="shared" si="25"/>
        <v>#VALUE!</v>
      </c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ht="16.5" customHeight="1" outlineLevel="2">
      <c r="A60" s="207">
        <f t="shared" si="17"/>
        <v>54</v>
      </c>
      <c r="B60" s="207">
        <v>31</v>
      </c>
      <c r="C60" s="245" t="s">
        <v>1179</v>
      </c>
      <c r="D60" s="209">
        <v>8533.2463356540557</v>
      </c>
      <c r="E60" s="504" t="s">
        <v>91</v>
      </c>
      <c r="F60" s="213">
        <f t="shared" si="31"/>
        <v>10076</v>
      </c>
      <c r="G60" s="207"/>
      <c r="H60" s="223">
        <f t="shared" si="19"/>
        <v>2013</v>
      </c>
      <c r="I60" s="212" t="s">
        <v>934</v>
      </c>
      <c r="J60" s="213"/>
      <c r="K60" s="213"/>
      <c r="L60" s="213"/>
      <c r="M60" s="213">
        <f t="shared" si="20"/>
        <v>0</v>
      </c>
      <c r="N60" s="207"/>
      <c r="O60" s="231"/>
      <c r="P60" s="230"/>
      <c r="Q60" s="230"/>
      <c r="R60" s="230"/>
      <c r="S60" s="213">
        <f t="shared" si="28"/>
        <v>0</v>
      </c>
      <c r="T60" s="216" t="s">
        <v>1076</v>
      </c>
      <c r="U60" s="207" t="s">
        <v>202</v>
      </c>
      <c r="V60" s="216">
        <v>10076</v>
      </c>
      <c r="W60" s="216"/>
      <c r="X60" s="216"/>
      <c r="Y60" s="213">
        <f t="shared" si="29"/>
        <v>10076</v>
      </c>
      <c r="Z60" s="222">
        <v>2021</v>
      </c>
      <c r="AA60" s="228"/>
      <c r="AB60" s="218"/>
      <c r="AC60" s="220"/>
      <c r="AD60" s="220"/>
      <c r="AE60" s="220" t="str">
        <f t="shared" si="21"/>
        <v>V</v>
      </c>
      <c r="AF60" s="229"/>
      <c r="AG60" s="220" t="str">
        <f t="shared" si="22"/>
        <v>2</v>
      </c>
      <c r="AH60" s="220" t="str">
        <f t="shared" si="23"/>
        <v>2</v>
      </c>
      <c r="AI60" s="220"/>
      <c r="AJ60" s="221" t="str">
        <f t="shared" si="24"/>
        <v>1</v>
      </c>
      <c r="AK60" s="220" t="str">
        <f t="shared" si="25"/>
        <v>2.2..1</v>
      </c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ht="16.5" customHeight="1" outlineLevel="2">
      <c r="A61" s="207">
        <f t="shared" si="17"/>
        <v>55</v>
      </c>
      <c r="B61" s="207">
        <v>32</v>
      </c>
      <c r="C61" s="245" t="s">
        <v>1180</v>
      </c>
      <c r="D61" s="209">
        <v>20534.533927261415</v>
      </c>
      <c r="E61" s="504" t="s">
        <v>123</v>
      </c>
      <c r="F61" s="213">
        <f t="shared" si="31"/>
        <v>0</v>
      </c>
      <c r="G61" s="207"/>
      <c r="H61" s="223">
        <f t="shared" si="19"/>
        <v>2017</v>
      </c>
      <c r="I61" s="212" t="s">
        <v>1140</v>
      </c>
      <c r="J61" s="213">
        <v>0</v>
      </c>
      <c r="K61" s="213">
        <v>0</v>
      </c>
      <c r="L61" s="213">
        <v>0</v>
      </c>
      <c r="M61" s="213">
        <f t="shared" si="20"/>
        <v>0</v>
      </c>
      <c r="N61" s="207"/>
      <c r="O61" s="231" t="s">
        <v>1181</v>
      </c>
      <c r="P61" s="230">
        <v>0</v>
      </c>
      <c r="Q61" s="230">
        <v>0</v>
      </c>
      <c r="R61" s="230">
        <v>0</v>
      </c>
      <c r="S61" s="213">
        <f t="shared" si="28"/>
        <v>0</v>
      </c>
      <c r="T61" s="216"/>
      <c r="U61" s="207"/>
      <c r="V61" s="216"/>
      <c r="W61" s="216"/>
      <c r="X61" s="216"/>
      <c r="Y61" s="213">
        <f t="shared" si="29"/>
        <v>0</v>
      </c>
      <c r="Z61" s="222">
        <v>2023</v>
      </c>
      <c r="AA61" s="228" t="s">
        <v>1160</v>
      </c>
      <c r="AB61" s="218"/>
      <c r="AC61" s="220"/>
      <c r="AD61" s="220"/>
      <c r="AE61" s="220" t="str">
        <f t="shared" si="21"/>
        <v/>
      </c>
      <c r="AF61" s="229"/>
      <c r="AG61" s="220" t="str">
        <f t="shared" si="22"/>
        <v>2</v>
      </c>
      <c r="AH61" s="220" t="str">
        <f t="shared" si="23"/>
        <v>2</v>
      </c>
      <c r="AI61" s="220"/>
      <c r="AJ61" s="221" t="str">
        <f t="shared" si="24"/>
        <v>2</v>
      </c>
      <c r="AK61" s="220" t="str">
        <f t="shared" si="25"/>
        <v>2.2..2</v>
      </c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ht="16.5" customHeight="1" outlineLevel="2">
      <c r="A62" s="207">
        <f t="shared" si="17"/>
        <v>56</v>
      </c>
      <c r="B62" s="207">
        <v>33</v>
      </c>
      <c r="C62" s="245" t="s">
        <v>1182</v>
      </c>
      <c r="D62" s="209">
        <v>17083.588922450879</v>
      </c>
      <c r="E62" s="504" t="s">
        <v>123</v>
      </c>
      <c r="F62" s="213">
        <f t="shared" si="31"/>
        <v>0</v>
      </c>
      <c r="G62" s="207"/>
      <c r="H62" s="223">
        <f t="shared" si="19"/>
        <v>2017</v>
      </c>
      <c r="I62" s="224" t="s">
        <v>1183</v>
      </c>
      <c r="J62" s="213"/>
      <c r="K62" s="213"/>
      <c r="L62" s="213"/>
      <c r="M62" s="213">
        <f t="shared" si="20"/>
        <v>0</v>
      </c>
      <c r="N62" s="207"/>
      <c r="O62" s="231"/>
      <c r="P62" s="230"/>
      <c r="Q62" s="230"/>
      <c r="R62" s="230"/>
      <c r="S62" s="213">
        <f t="shared" si="28"/>
        <v>0</v>
      </c>
      <c r="T62" s="216"/>
      <c r="U62" s="207"/>
      <c r="V62" s="216"/>
      <c r="W62" s="216"/>
      <c r="X62" s="216"/>
      <c r="Y62" s="213">
        <f t="shared" si="29"/>
        <v>0</v>
      </c>
      <c r="Z62" s="222" t="s">
        <v>1129</v>
      </c>
      <c r="AA62" s="228" t="s">
        <v>1090</v>
      </c>
      <c r="AB62" s="218"/>
      <c r="AC62" s="220"/>
      <c r="AD62" s="220"/>
      <c r="AE62" s="220" t="str">
        <f t="shared" si="21"/>
        <v/>
      </c>
      <c r="AF62" s="229" t="s">
        <v>1184</v>
      </c>
      <c r="AG62" s="220" t="str">
        <f t="shared" si="22"/>
        <v>2</v>
      </c>
      <c r="AH62" s="220" t="str">
        <f t="shared" si="23"/>
        <v>2</v>
      </c>
      <c r="AI62" s="220"/>
      <c r="AJ62" s="221" t="str">
        <f t="shared" si="24"/>
        <v>2</v>
      </c>
      <c r="AK62" s="220" t="str">
        <f t="shared" si="25"/>
        <v>2.2..2</v>
      </c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ht="16.5" customHeight="1" outlineLevel="1">
      <c r="A63" s="207"/>
      <c r="B63" s="201"/>
      <c r="C63" s="249" t="s">
        <v>1185</v>
      </c>
      <c r="D63" s="250">
        <f>SUM(D30:D62)</f>
        <v>308668.34663552331</v>
      </c>
      <c r="E63" s="238">
        <f>COUNTIF(E30:E62,"D") + COUNTIF(E30:E62,"DS")</f>
        <v>15</v>
      </c>
      <c r="F63" s="239">
        <f>SUM(F30:F62)</f>
        <v>187652.11</v>
      </c>
      <c r="G63" s="201">
        <f>COUNTIF(G30:G62,N43)</f>
        <v>5</v>
      </c>
      <c r="H63" s="240"/>
      <c r="I63" s="241">
        <v>27</v>
      </c>
      <c r="J63" s="239">
        <f>SUM(J30:J62)</f>
        <v>54994.28</v>
      </c>
      <c r="K63" s="239">
        <f t="shared" ref="K63:M63" si="32">SUBTOTAL(9,K30:K61)</f>
        <v>0</v>
      </c>
      <c r="L63" s="239">
        <f t="shared" si="32"/>
        <v>219028.72</v>
      </c>
      <c r="M63" s="239">
        <f t="shared" si="32"/>
        <v>219028.72</v>
      </c>
      <c r="N63" s="201">
        <f>COUNTIF(N30:N62,G38)</f>
        <v>1</v>
      </c>
      <c r="O63" s="236">
        <v>9</v>
      </c>
      <c r="P63" s="203">
        <f t="shared" ref="P63:R63" si="33">SUM(P30:P62)</f>
        <v>230.29</v>
      </c>
      <c r="Q63" s="203">
        <f t="shared" si="33"/>
        <v>0</v>
      </c>
      <c r="R63" s="203">
        <f t="shared" si="33"/>
        <v>0</v>
      </c>
      <c r="S63" s="239">
        <f>SUBTOTAL(9,S30:S61)</f>
        <v>230.29</v>
      </c>
      <c r="T63" s="203">
        <v>4</v>
      </c>
      <c r="U63" s="201">
        <v>4</v>
      </c>
      <c r="V63" s="203">
        <f t="shared" ref="V63:X63" si="34">SUM(V30:V62)</f>
        <v>63383.46</v>
      </c>
      <c r="W63" s="203">
        <f t="shared" si="34"/>
        <v>0</v>
      </c>
      <c r="X63" s="203">
        <f t="shared" si="34"/>
        <v>0</v>
      </c>
      <c r="Y63" s="239">
        <f>SUBTOTAL(9,Y30:Y61)</f>
        <v>63383.46</v>
      </c>
      <c r="Z63" s="243" t="s">
        <v>1138</v>
      </c>
      <c r="AA63" s="228"/>
      <c r="AB63" s="218"/>
      <c r="AC63" s="220"/>
      <c r="AD63" s="225"/>
      <c r="AE63" s="251">
        <f>COUNTIF(AE30:AE62,"V") + COUNTIF(AE30:AE62,"VV") + COUNTIF(AE30:AE62,"VVV")</f>
        <v>10</v>
      </c>
      <c r="AF63" s="229"/>
      <c r="AG63" s="220"/>
      <c r="AH63" s="220"/>
      <c r="AI63" s="220"/>
      <c r="AJ63" s="221"/>
      <c r="AK63" s="220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 ht="16.5" customHeight="1" outlineLevel="2">
      <c r="A64" s="207">
        <f t="shared" ref="A64:A82" si="35">SUBTOTAL(3,$B$6:B64)</f>
        <v>57</v>
      </c>
      <c r="B64" s="207">
        <v>1</v>
      </c>
      <c r="C64" s="245" t="s">
        <v>1186</v>
      </c>
      <c r="D64" s="209">
        <v>23654.853048173587</v>
      </c>
      <c r="E64" s="504" t="s">
        <v>91</v>
      </c>
      <c r="F64" s="213">
        <f>IF(M64&gt;0,M64,IF(S64&gt;0,S64,IF(Y64&gt;0,Y64,0)))</f>
        <v>18018</v>
      </c>
      <c r="G64" s="207" t="s">
        <v>1076</v>
      </c>
      <c r="H64" s="223">
        <f t="shared" ref="H64:H82" si="36">VALUE(RIGHT(I64,4))</f>
        <v>2021</v>
      </c>
      <c r="I64" s="224" t="s">
        <v>289</v>
      </c>
      <c r="J64" s="246">
        <v>0</v>
      </c>
      <c r="K64" s="246">
        <v>0</v>
      </c>
      <c r="L64" s="246">
        <v>18018</v>
      </c>
      <c r="M64" s="213">
        <f t="shared" ref="M64:M82" si="37">IF(L64&gt;0,L64,IF(J64&gt;0,J64,0))</f>
        <v>18018</v>
      </c>
      <c r="N64" s="207"/>
      <c r="O64" s="231"/>
      <c r="P64" s="230"/>
      <c r="Q64" s="230"/>
      <c r="R64" s="230"/>
      <c r="S64" s="213">
        <f t="shared" ref="S64:S82" si="38">IF(R64&gt;0,R64,IF(P64&gt;0,P64,0))</f>
        <v>0</v>
      </c>
      <c r="T64" s="216" t="s">
        <v>1076</v>
      </c>
      <c r="U64" s="207" t="s">
        <v>208</v>
      </c>
      <c r="V64" s="216">
        <v>15243</v>
      </c>
      <c r="W64" s="216">
        <v>3159</v>
      </c>
      <c r="X64" s="216">
        <v>0</v>
      </c>
      <c r="Y64" s="213">
        <f t="shared" ref="Y64:Y82" si="39">IF(X64&gt;0,X64,IF(V64&gt;0,V64,0))</f>
        <v>15243</v>
      </c>
      <c r="Z64" s="222">
        <v>2020</v>
      </c>
      <c r="AA64" s="228"/>
      <c r="AB64" s="218">
        <v>19670.317453256106</v>
      </c>
      <c r="AC64" s="220"/>
      <c r="AD64" s="220"/>
      <c r="AE64" s="220" t="str">
        <f t="shared" ref="AE64:AE82" si="40">CONCATENATE(G64,N64,T64)</f>
        <v>VV</v>
      </c>
      <c r="AF64" s="229"/>
      <c r="AG64" s="220" t="str">
        <f t="shared" ref="AG64:AG82" si="41">IF(H64="","3",IF(H64&lt;=2018,"2","1"))</f>
        <v>1</v>
      </c>
      <c r="AH64" s="220" t="str">
        <f t="shared" ref="AH64:AH82" si="42">IF(M64&gt;0,"1","2")</f>
        <v>1</v>
      </c>
      <c r="AI64" s="220"/>
      <c r="AJ64" s="221" t="str">
        <f t="shared" ref="AJ64:AJ82" si="43">IF(S64&gt;0,"1",IF(Y64&gt;0,"1","2"))</f>
        <v>1</v>
      </c>
      <c r="AK64" s="220" t="str">
        <f t="shared" ref="AK64:AK82" si="44">CONCATENATE(AG64,".",AH64,".",AI64,".",AJ64)</f>
        <v>1.1..1</v>
      </c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 ht="16.5" customHeight="1" outlineLevel="2">
      <c r="A65" s="207">
        <f t="shared" si="35"/>
        <v>58</v>
      </c>
      <c r="B65" s="207">
        <v>2</v>
      </c>
      <c r="C65" s="245" t="s">
        <v>1187</v>
      </c>
      <c r="D65" s="209">
        <v>4941.7531862958376</v>
      </c>
      <c r="E65" s="504" t="s">
        <v>91</v>
      </c>
      <c r="F65" s="213">
        <f>S65</f>
        <v>4603.38</v>
      </c>
      <c r="G65" s="207"/>
      <c r="H65" s="223">
        <f t="shared" si="36"/>
        <v>2012</v>
      </c>
      <c r="I65" s="224" t="s">
        <v>198</v>
      </c>
      <c r="J65" s="213">
        <v>14643</v>
      </c>
      <c r="K65" s="213">
        <v>0</v>
      </c>
      <c r="L65" s="213">
        <v>14643</v>
      </c>
      <c r="M65" s="213">
        <f t="shared" si="37"/>
        <v>14643</v>
      </c>
      <c r="N65" s="207" t="s">
        <v>1076</v>
      </c>
      <c r="O65" s="231" t="s">
        <v>210</v>
      </c>
      <c r="P65" s="230">
        <v>4603.38</v>
      </c>
      <c r="Q65" s="230">
        <v>0</v>
      </c>
      <c r="R65" s="230">
        <v>4603.38</v>
      </c>
      <c r="S65" s="213">
        <f t="shared" si="38"/>
        <v>4603.38</v>
      </c>
      <c r="T65" s="216"/>
      <c r="U65" s="207"/>
      <c r="V65" s="216"/>
      <c r="W65" s="216"/>
      <c r="X65" s="216"/>
      <c r="Y65" s="213">
        <f t="shared" si="39"/>
        <v>0</v>
      </c>
      <c r="Z65" s="222">
        <v>2020</v>
      </c>
      <c r="AA65" s="228"/>
      <c r="AB65" s="218">
        <v>5046.0439336699783</v>
      </c>
      <c r="AC65" s="220"/>
      <c r="AD65" s="220"/>
      <c r="AE65" s="220" t="str">
        <f t="shared" si="40"/>
        <v>V</v>
      </c>
      <c r="AF65" s="229"/>
      <c r="AG65" s="220" t="str">
        <f t="shared" si="41"/>
        <v>2</v>
      </c>
      <c r="AH65" s="220" t="str">
        <f t="shared" si="42"/>
        <v>1</v>
      </c>
      <c r="AI65" s="220"/>
      <c r="AJ65" s="221" t="str">
        <f t="shared" si="43"/>
        <v>1</v>
      </c>
      <c r="AK65" s="220" t="str">
        <f t="shared" si="44"/>
        <v>2.1..1</v>
      </c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ht="16.5" customHeight="1" outlineLevel="2">
      <c r="A66" s="207">
        <f t="shared" si="35"/>
        <v>59</v>
      </c>
      <c r="B66" s="207">
        <v>3</v>
      </c>
      <c r="C66" s="245" t="s">
        <v>1188</v>
      </c>
      <c r="D66" s="209">
        <v>895.03558117484135</v>
      </c>
      <c r="E66" s="504" t="s">
        <v>123</v>
      </c>
      <c r="F66" s="213">
        <f t="shared" ref="F66:F76" si="45">IF(M66&gt;0,M66,IF(S66&gt;0,S66,IF(Y66&gt;0,Y66,0)))</f>
        <v>0</v>
      </c>
      <c r="G66" s="207"/>
      <c r="H66" s="223">
        <f t="shared" si="36"/>
        <v>2015</v>
      </c>
      <c r="I66" s="224" t="s">
        <v>212</v>
      </c>
      <c r="J66" s="213"/>
      <c r="K66" s="213"/>
      <c r="L66" s="213"/>
      <c r="M66" s="213">
        <f t="shared" si="37"/>
        <v>0</v>
      </c>
      <c r="N66" s="207"/>
      <c r="O66" s="231"/>
      <c r="P66" s="230"/>
      <c r="Q66" s="230"/>
      <c r="R66" s="230"/>
      <c r="S66" s="213">
        <f t="shared" si="38"/>
        <v>0</v>
      </c>
      <c r="T66" s="216"/>
      <c r="U66" s="207"/>
      <c r="V66" s="216"/>
      <c r="W66" s="216"/>
      <c r="X66" s="216"/>
      <c r="Y66" s="213">
        <f t="shared" si="39"/>
        <v>0</v>
      </c>
      <c r="Z66" s="222" t="s">
        <v>1097</v>
      </c>
      <c r="AA66" s="228"/>
      <c r="AB66" s="218">
        <v>2249.2088300242262</v>
      </c>
      <c r="AC66" s="220"/>
      <c r="AD66" s="220"/>
      <c r="AE66" s="220" t="str">
        <f t="shared" si="40"/>
        <v/>
      </c>
      <c r="AF66" s="229"/>
      <c r="AG66" s="220" t="str">
        <f t="shared" si="41"/>
        <v>2</v>
      </c>
      <c r="AH66" s="220" t="str">
        <f t="shared" si="42"/>
        <v>2</v>
      </c>
      <c r="AI66" s="220"/>
      <c r="AJ66" s="221" t="str">
        <f t="shared" si="43"/>
        <v>2</v>
      </c>
      <c r="AK66" s="220" t="str">
        <f t="shared" si="44"/>
        <v>2.2..2</v>
      </c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ht="16.5" customHeight="1" outlineLevel="2">
      <c r="A67" s="207">
        <f t="shared" si="35"/>
        <v>60</v>
      </c>
      <c r="B67" s="207">
        <v>4</v>
      </c>
      <c r="C67" s="245" t="s">
        <v>1189</v>
      </c>
      <c r="D67" s="209">
        <v>383.5095647347153</v>
      </c>
      <c r="E67" s="504" t="s">
        <v>123</v>
      </c>
      <c r="F67" s="213">
        <f t="shared" si="45"/>
        <v>0</v>
      </c>
      <c r="G67" s="207"/>
      <c r="H67" s="223">
        <f t="shared" si="36"/>
        <v>2017</v>
      </c>
      <c r="I67" s="224" t="s">
        <v>214</v>
      </c>
      <c r="J67" s="213"/>
      <c r="K67" s="213"/>
      <c r="L67" s="213"/>
      <c r="M67" s="213">
        <f t="shared" si="37"/>
        <v>0</v>
      </c>
      <c r="N67" s="207"/>
      <c r="O67" s="231"/>
      <c r="P67" s="230"/>
      <c r="Q67" s="230"/>
      <c r="R67" s="230"/>
      <c r="S67" s="213">
        <f t="shared" si="38"/>
        <v>0</v>
      </c>
      <c r="T67" s="216"/>
      <c r="U67" s="207"/>
      <c r="V67" s="216"/>
      <c r="W67" s="216"/>
      <c r="X67" s="216"/>
      <c r="Y67" s="213">
        <f t="shared" si="39"/>
        <v>0</v>
      </c>
      <c r="Z67" s="222" t="s">
        <v>1097</v>
      </c>
      <c r="AA67" s="228"/>
      <c r="AB67" s="218">
        <v>305.4609494859518</v>
      </c>
      <c r="AC67" s="220"/>
      <c r="AD67" s="220"/>
      <c r="AE67" s="220" t="str">
        <f t="shared" si="40"/>
        <v/>
      </c>
      <c r="AF67" s="229" t="s">
        <v>1190</v>
      </c>
      <c r="AG67" s="220" t="str">
        <f t="shared" si="41"/>
        <v>2</v>
      </c>
      <c r="AH67" s="220" t="str">
        <f t="shared" si="42"/>
        <v>2</v>
      </c>
      <c r="AI67" s="220"/>
      <c r="AJ67" s="221" t="str">
        <f t="shared" si="43"/>
        <v>2</v>
      </c>
      <c r="AK67" s="220" t="str">
        <f t="shared" si="44"/>
        <v>2.2..2</v>
      </c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 ht="16.5" customHeight="1" outlineLevel="2">
      <c r="A68" s="207">
        <f t="shared" si="35"/>
        <v>61</v>
      </c>
      <c r="B68" s="207">
        <v>5</v>
      </c>
      <c r="C68" s="245" t="s">
        <v>1191</v>
      </c>
      <c r="D68" s="209">
        <v>5841.6257267284327</v>
      </c>
      <c r="E68" s="504" t="s">
        <v>91</v>
      </c>
      <c r="F68" s="213">
        <f t="shared" si="45"/>
        <v>2817.86</v>
      </c>
      <c r="G68" s="207" t="s">
        <v>1076</v>
      </c>
      <c r="H68" s="223">
        <f t="shared" si="36"/>
        <v>2019</v>
      </c>
      <c r="I68" s="224" t="s">
        <v>216</v>
      </c>
      <c r="J68" s="213">
        <v>2817.86</v>
      </c>
      <c r="K68" s="213">
        <v>0</v>
      </c>
      <c r="L68" s="213">
        <v>2817.86</v>
      </c>
      <c r="M68" s="213">
        <f t="shared" si="37"/>
        <v>2817.86</v>
      </c>
      <c r="N68" s="207"/>
      <c r="O68" s="231"/>
      <c r="P68" s="230"/>
      <c r="Q68" s="230"/>
      <c r="R68" s="230"/>
      <c r="S68" s="213">
        <f t="shared" si="38"/>
        <v>0</v>
      </c>
      <c r="T68" s="216"/>
      <c r="U68" s="207"/>
      <c r="V68" s="216"/>
      <c r="W68" s="216"/>
      <c r="X68" s="216"/>
      <c r="Y68" s="213">
        <f t="shared" si="39"/>
        <v>0</v>
      </c>
      <c r="Z68" s="222" t="s">
        <v>1097</v>
      </c>
      <c r="AA68" s="228"/>
      <c r="AB68" s="218">
        <v>5409.007344041047</v>
      </c>
      <c r="AC68" s="220"/>
      <c r="AD68" s="220"/>
      <c r="AE68" s="220" t="str">
        <f t="shared" si="40"/>
        <v>V</v>
      </c>
      <c r="AF68" s="229"/>
      <c r="AG68" s="220" t="str">
        <f t="shared" si="41"/>
        <v>1</v>
      </c>
      <c r="AH68" s="220" t="str">
        <f t="shared" si="42"/>
        <v>1</v>
      </c>
      <c r="AI68" s="220"/>
      <c r="AJ68" s="221" t="str">
        <f t="shared" si="43"/>
        <v>2</v>
      </c>
      <c r="AK68" s="220" t="str">
        <f t="shared" si="44"/>
        <v>1.1..2</v>
      </c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 ht="16.5" customHeight="1" outlineLevel="2">
      <c r="A69" s="207">
        <f t="shared" si="35"/>
        <v>62</v>
      </c>
      <c r="B69" s="207">
        <v>6</v>
      </c>
      <c r="C69" s="245" t="s">
        <v>1192</v>
      </c>
      <c r="D69" s="209">
        <v>552.30450255674111</v>
      </c>
      <c r="E69" s="504" t="s">
        <v>91</v>
      </c>
      <c r="F69" s="213">
        <f t="shared" si="45"/>
        <v>147.05000000000001</v>
      </c>
      <c r="G69" s="207"/>
      <c r="H69" s="223">
        <f t="shared" si="36"/>
        <v>2013</v>
      </c>
      <c r="I69" s="224" t="s">
        <v>167</v>
      </c>
      <c r="J69" s="213"/>
      <c r="K69" s="213"/>
      <c r="L69" s="213"/>
      <c r="M69" s="213">
        <f t="shared" si="37"/>
        <v>0</v>
      </c>
      <c r="N69" s="207" t="s">
        <v>1076</v>
      </c>
      <c r="O69" s="505" t="s">
        <v>218</v>
      </c>
      <c r="P69" s="230">
        <v>147.05000000000001</v>
      </c>
      <c r="Q69" s="230"/>
      <c r="R69" s="230"/>
      <c r="S69" s="213">
        <f t="shared" si="38"/>
        <v>147.05000000000001</v>
      </c>
      <c r="T69" s="216"/>
      <c r="U69" s="207"/>
      <c r="V69" s="216"/>
      <c r="W69" s="216"/>
      <c r="X69" s="216"/>
      <c r="Y69" s="213">
        <f t="shared" si="39"/>
        <v>0</v>
      </c>
      <c r="Z69" s="222">
        <v>2020</v>
      </c>
      <c r="AA69" s="228"/>
      <c r="AB69" s="218">
        <v>535.03851677876401</v>
      </c>
      <c r="AC69" s="220"/>
      <c r="AD69" s="220"/>
      <c r="AE69" s="220" t="str">
        <f t="shared" si="40"/>
        <v>V</v>
      </c>
      <c r="AF69" s="229" t="s">
        <v>1193</v>
      </c>
      <c r="AG69" s="220" t="str">
        <f t="shared" si="41"/>
        <v>2</v>
      </c>
      <c r="AH69" s="220" t="str">
        <f t="shared" si="42"/>
        <v>2</v>
      </c>
      <c r="AI69" s="220"/>
      <c r="AJ69" s="221" t="str">
        <f t="shared" si="43"/>
        <v>1</v>
      </c>
      <c r="AK69" s="220" t="str">
        <f t="shared" si="44"/>
        <v>2.2..1</v>
      </c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ht="16.5" customHeight="1" outlineLevel="2">
      <c r="A70" s="207">
        <f t="shared" si="35"/>
        <v>63</v>
      </c>
      <c r="B70" s="207">
        <v>7</v>
      </c>
      <c r="C70" s="245" t="s">
        <v>1194</v>
      </c>
      <c r="D70" s="209">
        <v>2996.3822376647713</v>
      </c>
      <c r="E70" s="504" t="s">
        <v>104</v>
      </c>
      <c r="F70" s="213">
        <f t="shared" si="45"/>
        <v>1601</v>
      </c>
      <c r="G70" s="207"/>
      <c r="H70" s="223">
        <f t="shared" si="36"/>
        <v>2022</v>
      </c>
      <c r="I70" s="252" t="s">
        <v>220</v>
      </c>
      <c r="J70" s="213">
        <v>1601</v>
      </c>
      <c r="K70" s="213">
        <v>0</v>
      </c>
      <c r="L70" s="213">
        <v>1601</v>
      </c>
      <c r="M70" s="213">
        <f t="shared" si="37"/>
        <v>1601</v>
      </c>
      <c r="N70" s="207"/>
      <c r="O70" s="231"/>
      <c r="P70" s="230"/>
      <c r="Q70" s="230"/>
      <c r="R70" s="230"/>
      <c r="S70" s="213">
        <f t="shared" si="38"/>
        <v>0</v>
      </c>
      <c r="T70" s="216"/>
      <c r="U70" s="207"/>
      <c r="V70" s="216"/>
      <c r="W70" s="216"/>
      <c r="X70" s="216"/>
      <c r="Y70" s="213">
        <f t="shared" si="39"/>
        <v>0</v>
      </c>
      <c r="Z70" s="222" t="s">
        <v>1097</v>
      </c>
      <c r="AA70" s="228"/>
      <c r="AB70" s="218">
        <v>3122.093798038612</v>
      </c>
      <c r="AC70" s="220"/>
      <c r="AD70" s="220"/>
      <c r="AE70" s="220" t="str">
        <f t="shared" si="40"/>
        <v/>
      </c>
      <c r="AF70" s="229"/>
      <c r="AG70" s="220" t="str">
        <f t="shared" si="41"/>
        <v>1</v>
      </c>
      <c r="AH70" s="220" t="str">
        <f t="shared" si="42"/>
        <v>1</v>
      </c>
      <c r="AI70" s="220"/>
      <c r="AJ70" s="221" t="str">
        <f t="shared" si="43"/>
        <v>2</v>
      </c>
      <c r="AK70" s="220" t="str">
        <f t="shared" si="44"/>
        <v>1.1..2</v>
      </c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ht="16.5" customHeight="1" outlineLevel="2">
      <c r="A71" s="207">
        <f t="shared" si="35"/>
        <v>64</v>
      </c>
      <c r="B71" s="207">
        <v>8</v>
      </c>
      <c r="C71" s="245" t="s">
        <v>1195</v>
      </c>
      <c r="D71" s="209">
        <v>2803.2111179015492</v>
      </c>
      <c r="E71" s="504" t="s">
        <v>91</v>
      </c>
      <c r="F71" s="213">
        <f t="shared" si="45"/>
        <v>1745</v>
      </c>
      <c r="G71" s="207" t="s">
        <v>1076</v>
      </c>
      <c r="H71" s="223">
        <f t="shared" si="36"/>
        <v>2020</v>
      </c>
      <c r="I71" s="224" t="s">
        <v>155</v>
      </c>
      <c r="J71" s="246">
        <v>0</v>
      </c>
      <c r="K71" s="246">
        <v>0</v>
      </c>
      <c r="L71" s="246">
        <v>1745</v>
      </c>
      <c r="M71" s="213">
        <f t="shared" si="37"/>
        <v>1745</v>
      </c>
      <c r="N71" s="207" t="s">
        <v>1076</v>
      </c>
      <c r="O71" s="505" t="s">
        <v>1196</v>
      </c>
      <c r="P71" s="230">
        <v>1719.22</v>
      </c>
      <c r="Q71" s="230">
        <v>26.17</v>
      </c>
      <c r="R71" s="230">
        <v>1745.39</v>
      </c>
      <c r="S71" s="213">
        <f t="shared" si="38"/>
        <v>1745.39</v>
      </c>
      <c r="T71" s="216"/>
      <c r="U71" s="207"/>
      <c r="V71" s="216"/>
      <c r="W71" s="216"/>
      <c r="X71" s="216"/>
      <c r="Y71" s="213">
        <f t="shared" si="39"/>
        <v>0</v>
      </c>
      <c r="Z71" s="222">
        <v>2020</v>
      </c>
      <c r="AA71" s="228"/>
      <c r="AB71" s="218">
        <v>2759.7326676114239</v>
      </c>
      <c r="AC71" s="220"/>
      <c r="AD71" s="220"/>
      <c r="AE71" s="220" t="str">
        <f t="shared" si="40"/>
        <v>VV</v>
      </c>
      <c r="AF71" s="229"/>
      <c r="AG71" s="220" t="str">
        <f t="shared" si="41"/>
        <v>1</v>
      </c>
      <c r="AH71" s="220" t="str">
        <f t="shared" si="42"/>
        <v>1</v>
      </c>
      <c r="AI71" s="220"/>
      <c r="AJ71" s="221" t="str">
        <f t="shared" si="43"/>
        <v>1</v>
      </c>
      <c r="AK71" s="220" t="str">
        <f t="shared" si="44"/>
        <v>1.1..1</v>
      </c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ht="16.5" customHeight="1" outlineLevel="2">
      <c r="A72" s="207">
        <f t="shared" si="35"/>
        <v>65</v>
      </c>
      <c r="B72" s="207">
        <v>9</v>
      </c>
      <c r="C72" s="245" t="s">
        <v>1197</v>
      </c>
      <c r="D72" s="209">
        <v>1327.4064315333644</v>
      </c>
      <c r="E72" s="504" t="s">
        <v>661</v>
      </c>
      <c r="F72" s="213">
        <f t="shared" si="45"/>
        <v>0</v>
      </c>
      <c r="G72" s="207"/>
      <c r="H72" s="223" t="e">
        <f t="shared" si="36"/>
        <v>#VALUE!</v>
      </c>
      <c r="I72" s="248"/>
      <c r="J72" s="246"/>
      <c r="K72" s="246"/>
      <c r="L72" s="246"/>
      <c r="M72" s="213">
        <f t="shared" si="37"/>
        <v>0</v>
      </c>
      <c r="N72" s="207"/>
      <c r="O72" s="231"/>
      <c r="P72" s="230"/>
      <c r="Q72" s="230"/>
      <c r="R72" s="230"/>
      <c r="S72" s="213">
        <f t="shared" si="38"/>
        <v>0</v>
      </c>
      <c r="T72" s="216"/>
      <c r="U72" s="207"/>
      <c r="V72" s="216"/>
      <c r="W72" s="216"/>
      <c r="X72" s="216"/>
      <c r="Y72" s="213">
        <f t="shared" si="39"/>
        <v>0</v>
      </c>
      <c r="Z72" s="222" t="s">
        <v>1097</v>
      </c>
      <c r="AA72" s="228"/>
      <c r="AB72" s="218">
        <v>1265.8837549517964</v>
      </c>
      <c r="AC72" s="220"/>
      <c r="AD72" s="220"/>
      <c r="AE72" s="220" t="str">
        <f t="shared" si="40"/>
        <v/>
      </c>
      <c r="AF72" s="229"/>
      <c r="AG72" s="220" t="e">
        <f t="shared" si="41"/>
        <v>#VALUE!</v>
      </c>
      <c r="AH72" s="220" t="str">
        <f t="shared" si="42"/>
        <v>2</v>
      </c>
      <c r="AI72" s="220"/>
      <c r="AJ72" s="221" t="str">
        <f t="shared" si="43"/>
        <v>2</v>
      </c>
      <c r="AK72" s="220" t="e">
        <f t="shared" si="44"/>
        <v>#VALUE!</v>
      </c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ht="16.5" customHeight="1" outlineLevel="2">
      <c r="A73" s="207">
        <f t="shared" si="35"/>
        <v>66</v>
      </c>
      <c r="B73" s="207">
        <v>10</v>
      </c>
      <c r="C73" s="245" t="s">
        <v>1198</v>
      </c>
      <c r="D73" s="209">
        <v>1143.1113912762846</v>
      </c>
      <c r="E73" s="504" t="s">
        <v>123</v>
      </c>
      <c r="F73" s="213">
        <f t="shared" si="45"/>
        <v>0</v>
      </c>
      <c r="G73" s="207"/>
      <c r="H73" s="223">
        <f t="shared" si="36"/>
        <v>2012</v>
      </c>
      <c r="I73" s="224" t="s">
        <v>1199</v>
      </c>
      <c r="J73" s="246"/>
      <c r="K73" s="246"/>
      <c r="L73" s="246"/>
      <c r="M73" s="213">
        <f t="shared" si="37"/>
        <v>0</v>
      </c>
      <c r="N73" s="207"/>
      <c r="O73" s="231"/>
      <c r="P73" s="230"/>
      <c r="Q73" s="230"/>
      <c r="R73" s="230"/>
      <c r="S73" s="213">
        <f t="shared" si="38"/>
        <v>0</v>
      </c>
      <c r="T73" s="216"/>
      <c r="U73" s="207"/>
      <c r="V73" s="216"/>
      <c r="W73" s="216"/>
      <c r="X73" s="216"/>
      <c r="Y73" s="213">
        <f t="shared" si="39"/>
        <v>0</v>
      </c>
      <c r="Z73" s="222" t="s">
        <v>1097</v>
      </c>
      <c r="AA73" s="228"/>
      <c r="AB73" s="218">
        <v>881.17932955998515</v>
      </c>
      <c r="AC73" s="220"/>
      <c r="AD73" s="220"/>
      <c r="AE73" s="220" t="str">
        <f t="shared" si="40"/>
        <v/>
      </c>
      <c r="AF73" s="229"/>
      <c r="AG73" s="220" t="str">
        <f t="shared" si="41"/>
        <v>2</v>
      </c>
      <c r="AH73" s="220" t="str">
        <f t="shared" si="42"/>
        <v>2</v>
      </c>
      <c r="AI73" s="220"/>
      <c r="AJ73" s="221" t="str">
        <f t="shared" si="43"/>
        <v>2</v>
      </c>
      <c r="AK73" s="220" t="str">
        <f t="shared" si="44"/>
        <v>2.2..2</v>
      </c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 ht="16.5" customHeight="1" outlineLevel="2">
      <c r="A74" s="207">
        <f t="shared" si="35"/>
        <v>67</v>
      </c>
      <c r="B74" s="207">
        <v>11</v>
      </c>
      <c r="C74" s="245" t="s">
        <v>1200</v>
      </c>
      <c r="D74" s="209">
        <v>19426.492025371288</v>
      </c>
      <c r="E74" s="504" t="s">
        <v>104</v>
      </c>
      <c r="F74" s="213">
        <f t="shared" si="45"/>
        <v>3200</v>
      </c>
      <c r="G74" s="207"/>
      <c r="H74" s="223">
        <f t="shared" si="36"/>
        <v>2012</v>
      </c>
      <c r="I74" s="224" t="s">
        <v>1201</v>
      </c>
      <c r="J74" s="213">
        <v>3200</v>
      </c>
      <c r="K74" s="213">
        <v>0</v>
      </c>
      <c r="L74" s="213">
        <v>3200</v>
      </c>
      <c r="M74" s="213">
        <f t="shared" si="37"/>
        <v>3200</v>
      </c>
      <c r="N74" s="207"/>
      <c r="O74" s="231"/>
      <c r="P74" s="230"/>
      <c r="Q74" s="230"/>
      <c r="R74" s="230"/>
      <c r="S74" s="213">
        <f t="shared" si="38"/>
        <v>0</v>
      </c>
      <c r="T74" s="216"/>
      <c r="U74" s="207"/>
      <c r="V74" s="216"/>
      <c r="W74" s="216"/>
      <c r="X74" s="216"/>
      <c r="Y74" s="213">
        <f t="shared" si="39"/>
        <v>0</v>
      </c>
      <c r="Z74" s="222">
        <v>2023</v>
      </c>
      <c r="AA74" s="228" t="s">
        <v>1160</v>
      </c>
      <c r="AB74" s="218">
        <v>19440.824327064925</v>
      </c>
      <c r="AC74" s="220"/>
      <c r="AD74" s="220"/>
      <c r="AE74" s="220" t="str">
        <f t="shared" si="40"/>
        <v/>
      </c>
      <c r="AF74" s="229"/>
      <c r="AG74" s="220" t="str">
        <f t="shared" si="41"/>
        <v>2</v>
      </c>
      <c r="AH74" s="220" t="str">
        <f t="shared" si="42"/>
        <v>1</v>
      </c>
      <c r="AI74" s="220"/>
      <c r="AJ74" s="221" t="str">
        <f t="shared" si="43"/>
        <v>2</v>
      </c>
      <c r="AK74" s="220" t="str">
        <f t="shared" si="44"/>
        <v>2.1..2</v>
      </c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 ht="16.5" customHeight="1" outlineLevel="2">
      <c r="A75" s="207">
        <f t="shared" si="35"/>
        <v>68</v>
      </c>
      <c r="B75" s="207">
        <v>12</v>
      </c>
      <c r="C75" s="245" t="s">
        <v>1202</v>
      </c>
      <c r="D75" s="209">
        <v>18365.530221913777</v>
      </c>
      <c r="E75" s="504" t="s">
        <v>91</v>
      </c>
      <c r="F75" s="213">
        <f t="shared" si="45"/>
        <v>22735</v>
      </c>
      <c r="G75" s="207" t="s">
        <v>1076</v>
      </c>
      <c r="H75" s="223">
        <f t="shared" si="36"/>
        <v>2020</v>
      </c>
      <c r="I75" s="224" t="s">
        <v>155</v>
      </c>
      <c r="J75" s="246">
        <v>0</v>
      </c>
      <c r="K75" s="246">
        <v>0</v>
      </c>
      <c r="L75" s="246">
        <v>22735</v>
      </c>
      <c r="M75" s="213">
        <f t="shared" si="37"/>
        <v>22735</v>
      </c>
      <c r="N75" s="207"/>
      <c r="O75" s="231"/>
      <c r="P75" s="230"/>
      <c r="Q75" s="230"/>
      <c r="R75" s="230"/>
      <c r="S75" s="213">
        <f t="shared" si="38"/>
        <v>0</v>
      </c>
      <c r="T75" s="216"/>
      <c r="U75" s="207"/>
      <c r="V75" s="216"/>
      <c r="W75" s="216"/>
      <c r="X75" s="216"/>
      <c r="Y75" s="213">
        <f t="shared" si="39"/>
        <v>0</v>
      </c>
      <c r="Z75" s="222">
        <v>2020</v>
      </c>
      <c r="AA75" s="228"/>
      <c r="AB75" s="218">
        <v>17793.339379966528</v>
      </c>
      <c r="AC75" s="220"/>
      <c r="AD75" s="220"/>
      <c r="AE75" s="220" t="str">
        <f t="shared" si="40"/>
        <v>V</v>
      </c>
      <c r="AF75" s="229"/>
      <c r="AG75" s="220" t="str">
        <f t="shared" si="41"/>
        <v>1</v>
      </c>
      <c r="AH75" s="220" t="str">
        <f t="shared" si="42"/>
        <v>1</v>
      </c>
      <c r="AI75" s="220"/>
      <c r="AJ75" s="221" t="str">
        <f t="shared" si="43"/>
        <v>2</v>
      </c>
      <c r="AK75" s="220" t="str">
        <f t="shared" si="44"/>
        <v>1.1..2</v>
      </c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 ht="16.5" customHeight="1" outlineLevel="2">
      <c r="A76" s="207">
        <f t="shared" si="35"/>
        <v>69</v>
      </c>
      <c r="B76" s="207">
        <v>13</v>
      </c>
      <c r="C76" s="245" t="s">
        <v>1203</v>
      </c>
      <c r="D76" s="209">
        <v>17751.540424370301</v>
      </c>
      <c r="E76" s="504" t="s">
        <v>661</v>
      </c>
      <c r="F76" s="213">
        <f t="shared" si="45"/>
        <v>0</v>
      </c>
      <c r="G76" s="207"/>
      <c r="H76" s="223" t="e">
        <f t="shared" si="36"/>
        <v>#VALUE!</v>
      </c>
      <c r="I76" s="248"/>
      <c r="J76" s="246"/>
      <c r="K76" s="246"/>
      <c r="L76" s="246"/>
      <c r="M76" s="213">
        <f t="shared" si="37"/>
        <v>0</v>
      </c>
      <c r="N76" s="207"/>
      <c r="O76" s="231"/>
      <c r="P76" s="230"/>
      <c r="Q76" s="230"/>
      <c r="R76" s="230"/>
      <c r="S76" s="213">
        <f t="shared" si="38"/>
        <v>0</v>
      </c>
      <c r="T76" s="216"/>
      <c r="U76" s="207"/>
      <c r="V76" s="216"/>
      <c r="W76" s="216"/>
      <c r="X76" s="216"/>
      <c r="Y76" s="213">
        <f t="shared" si="39"/>
        <v>0</v>
      </c>
      <c r="Z76" s="222">
        <v>2021</v>
      </c>
      <c r="AA76" s="228"/>
      <c r="AB76" s="218">
        <v>16355.634067479152</v>
      </c>
      <c r="AC76" s="220"/>
      <c r="AD76" s="220"/>
      <c r="AE76" s="220" t="str">
        <f t="shared" si="40"/>
        <v/>
      </c>
      <c r="AF76" s="229"/>
      <c r="AG76" s="220" t="e">
        <f t="shared" si="41"/>
        <v>#VALUE!</v>
      </c>
      <c r="AH76" s="220" t="str">
        <f t="shared" si="42"/>
        <v>2</v>
      </c>
      <c r="AI76" s="220"/>
      <c r="AJ76" s="221" t="str">
        <f t="shared" si="43"/>
        <v>2</v>
      </c>
      <c r="AK76" s="220" t="e">
        <f t="shared" si="44"/>
        <v>#VALUE!</v>
      </c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 ht="16.5" customHeight="1" outlineLevel="2">
      <c r="A77" s="207">
        <f t="shared" si="35"/>
        <v>70</v>
      </c>
      <c r="B77" s="207">
        <v>14</v>
      </c>
      <c r="C77" s="245" t="s">
        <v>1204</v>
      </c>
      <c r="D77" s="209">
        <v>8872.9282717311053</v>
      </c>
      <c r="E77" s="504" t="s">
        <v>91</v>
      </c>
      <c r="F77" s="213">
        <f>Y77</f>
        <v>9390</v>
      </c>
      <c r="G77" s="207"/>
      <c r="H77" s="223" t="e">
        <f t="shared" si="36"/>
        <v>#VALUE!</v>
      </c>
      <c r="I77" s="212"/>
      <c r="J77" s="213"/>
      <c r="K77" s="213"/>
      <c r="L77" s="213"/>
      <c r="M77" s="213">
        <f t="shared" si="37"/>
        <v>0</v>
      </c>
      <c r="N77" s="207"/>
      <c r="O77" s="231" t="s">
        <v>193</v>
      </c>
      <c r="P77" s="230">
        <v>13105</v>
      </c>
      <c r="Q77" s="230">
        <v>0</v>
      </c>
      <c r="R77" s="230">
        <v>13105</v>
      </c>
      <c r="S77" s="213">
        <f t="shared" si="38"/>
        <v>13105</v>
      </c>
      <c r="T77" s="216" t="s">
        <v>1076</v>
      </c>
      <c r="U77" s="207" t="s">
        <v>1205</v>
      </c>
      <c r="V77" s="216">
        <v>9390</v>
      </c>
      <c r="W77" s="216"/>
      <c r="X77" s="216">
        <v>9390</v>
      </c>
      <c r="Y77" s="213">
        <f t="shared" si="39"/>
        <v>9390</v>
      </c>
      <c r="Z77" s="222">
        <v>2021</v>
      </c>
      <c r="AA77" s="228"/>
      <c r="AB77" s="218">
        <v>8626.2160451335658</v>
      </c>
      <c r="AC77" s="220"/>
      <c r="AD77" s="220"/>
      <c r="AE77" s="220" t="str">
        <f t="shared" si="40"/>
        <v>V</v>
      </c>
      <c r="AF77" s="229"/>
      <c r="AG77" s="220" t="e">
        <f t="shared" si="41"/>
        <v>#VALUE!</v>
      </c>
      <c r="AH77" s="220" t="str">
        <f t="shared" si="42"/>
        <v>2</v>
      </c>
      <c r="AI77" s="220"/>
      <c r="AJ77" s="221" t="str">
        <f t="shared" si="43"/>
        <v>1</v>
      </c>
      <c r="AK77" s="220" t="e">
        <f t="shared" si="44"/>
        <v>#VALUE!</v>
      </c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 ht="16.5" customHeight="1" outlineLevel="2">
      <c r="A78" s="207">
        <f t="shared" si="35"/>
        <v>71</v>
      </c>
      <c r="B78" s="207">
        <v>15</v>
      </c>
      <c r="C78" s="245" t="s">
        <v>1206</v>
      </c>
      <c r="D78" s="209">
        <v>23885.105385055442</v>
      </c>
      <c r="E78" s="504" t="s">
        <v>91</v>
      </c>
      <c r="F78" s="213">
        <f>S78</f>
        <v>17944.2</v>
      </c>
      <c r="G78" s="207"/>
      <c r="H78" s="223">
        <f t="shared" si="36"/>
        <v>2020</v>
      </c>
      <c r="I78" s="212" t="s">
        <v>262</v>
      </c>
      <c r="J78" s="213">
        <v>15000</v>
      </c>
      <c r="K78" s="213">
        <v>0</v>
      </c>
      <c r="L78" s="213">
        <v>0</v>
      </c>
      <c r="M78" s="213">
        <f t="shared" si="37"/>
        <v>15000</v>
      </c>
      <c r="N78" s="207" t="s">
        <v>1076</v>
      </c>
      <c r="O78" s="231" t="s">
        <v>234</v>
      </c>
      <c r="P78" s="230">
        <v>17944.2</v>
      </c>
      <c r="Q78" s="230">
        <v>4801.8999999999996</v>
      </c>
      <c r="R78" s="230"/>
      <c r="S78" s="213">
        <f t="shared" si="38"/>
        <v>17944.2</v>
      </c>
      <c r="T78" s="216"/>
      <c r="U78" s="207"/>
      <c r="V78" s="216"/>
      <c r="W78" s="216"/>
      <c r="X78" s="216"/>
      <c r="Y78" s="213">
        <f t="shared" si="39"/>
        <v>0</v>
      </c>
      <c r="Z78" s="222">
        <v>2020</v>
      </c>
      <c r="AA78" s="228"/>
      <c r="AB78" s="218">
        <v>23857.830626328523</v>
      </c>
      <c r="AC78" s="220"/>
      <c r="AD78" s="220"/>
      <c r="AE78" s="220" t="str">
        <f t="shared" si="40"/>
        <v>V</v>
      </c>
      <c r="AF78" s="229"/>
      <c r="AG78" s="220" t="str">
        <f t="shared" si="41"/>
        <v>1</v>
      </c>
      <c r="AH78" s="220" t="str">
        <f t="shared" si="42"/>
        <v>1</v>
      </c>
      <c r="AI78" s="220"/>
      <c r="AJ78" s="221" t="str">
        <f t="shared" si="43"/>
        <v>1</v>
      </c>
      <c r="AK78" s="220" t="str">
        <f t="shared" si="44"/>
        <v>1.1..1</v>
      </c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ht="16.5" customHeight="1" outlineLevel="2">
      <c r="A79" s="207">
        <f t="shared" si="35"/>
        <v>72</v>
      </c>
      <c r="B79" s="207">
        <v>16</v>
      </c>
      <c r="C79" s="245" t="s">
        <v>1207</v>
      </c>
      <c r="D79" s="209">
        <v>10867.287466268239</v>
      </c>
      <c r="E79" s="504" t="s">
        <v>91</v>
      </c>
      <c r="F79" s="213">
        <f t="shared" ref="F79:F82" si="46">IF(M79&gt;0,M79,IF(S79&gt;0,S79,IF(Y79&gt;0,Y79,0)))</f>
        <v>10098.64</v>
      </c>
      <c r="G79" s="207"/>
      <c r="H79" s="223">
        <f t="shared" si="36"/>
        <v>2012</v>
      </c>
      <c r="I79" s="224" t="s">
        <v>801</v>
      </c>
      <c r="J79" s="213"/>
      <c r="K79" s="213"/>
      <c r="L79" s="213"/>
      <c r="M79" s="213">
        <f t="shared" si="37"/>
        <v>0</v>
      </c>
      <c r="N79" s="207"/>
      <c r="O79" s="253"/>
      <c r="P79" s="230"/>
      <c r="Q79" s="230"/>
      <c r="R79" s="230"/>
      <c r="S79" s="213">
        <f t="shared" si="38"/>
        <v>0</v>
      </c>
      <c r="T79" s="216" t="s">
        <v>1076</v>
      </c>
      <c r="U79" s="221" t="s">
        <v>1208</v>
      </c>
      <c r="V79" s="216">
        <v>9726.14</v>
      </c>
      <c r="W79" s="216">
        <v>372.5</v>
      </c>
      <c r="X79" s="216">
        <f>V79+W79</f>
        <v>10098.64</v>
      </c>
      <c r="Y79" s="213">
        <f t="shared" si="39"/>
        <v>10098.64</v>
      </c>
      <c r="Z79" s="222">
        <v>2021</v>
      </c>
      <c r="AA79" s="228"/>
      <c r="AB79" s="218">
        <v>9997.494955627144</v>
      </c>
      <c r="AC79" s="220"/>
      <c r="AD79" s="220"/>
      <c r="AE79" s="220" t="str">
        <f t="shared" si="40"/>
        <v>V</v>
      </c>
      <c r="AF79" s="229"/>
      <c r="AG79" s="220" t="str">
        <f t="shared" si="41"/>
        <v>2</v>
      </c>
      <c r="AH79" s="220" t="str">
        <f t="shared" si="42"/>
        <v>2</v>
      </c>
      <c r="AI79" s="220"/>
      <c r="AJ79" s="221" t="str">
        <f t="shared" si="43"/>
        <v>1</v>
      </c>
      <c r="AK79" s="220" t="str">
        <f t="shared" si="44"/>
        <v>2.2..1</v>
      </c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ht="16.5" customHeight="1" outlineLevel="2">
      <c r="A80" s="207">
        <f t="shared" si="35"/>
        <v>73</v>
      </c>
      <c r="B80" s="207">
        <v>17</v>
      </c>
      <c r="C80" s="245" t="s">
        <v>1209</v>
      </c>
      <c r="D80" s="209">
        <v>20561.479368018274</v>
      </c>
      <c r="E80" s="504" t="s">
        <v>661</v>
      </c>
      <c r="F80" s="213">
        <f t="shared" si="46"/>
        <v>0</v>
      </c>
      <c r="G80" s="207"/>
      <c r="H80" s="223" t="e">
        <f t="shared" si="36"/>
        <v>#VALUE!</v>
      </c>
      <c r="I80" s="212"/>
      <c r="J80" s="213"/>
      <c r="K80" s="213"/>
      <c r="L80" s="213"/>
      <c r="M80" s="213">
        <f t="shared" si="37"/>
        <v>0</v>
      </c>
      <c r="N80" s="207"/>
      <c r="O80" s="253"/>
      <c r="P80" s="230"/>
      <c r="Q80" s="230"/>
      <c r="R80" s="230"/>
      <c r="S80" s="213">
        <f t="shared" si="38"/>
        <v>0</v>
      </c>
      <c r="T80" s="216"/>
      <c r="U80" s="221"/>
      <c r="V80" s="216"/>
      <c r="W80" s="216"/>
      <c r="X80" s="216"/>
      <c r="Y80" s="213">
        <f t="shared" si="39"/>
        <v>0</v>
      </c>
      <c r="Z80" s="222">
        <v>2023</v>
      </c>
      <c r="AA80" s="228" t="s">
        <v>1160</v>
      </c>
      <c r="AB80" s="218">
        <v>21384.131838067708</v>
      </c>
      <c r="AC80" s="220"/>
      <c r="AD80" s="220"/>
      <c r="AE80" s="220" t="str">
        <f t="shared" si="40"/>
        <v/>
      </c>
      <c r="AF80" s="229"/>
      <c r="AG80" s="220" t="e">
        <f t="shared" si="41"/>
        <v>#VALUE!</v>
      </c>
      <c r="AH80" s="220" t="str">
        <f t="shared" si="42"/>
        <v>2</v>
      </c>
      <c r="AI80" s="220"/>
      <c r="AJ80" s="221" t="str">
        <f t="shared" si="43"/>
        <v>2</v>
      </c>
      <c r="AK80" s="220" t="e">
        <f t="shared" si="44"/>
        <v>#VALUE!</v>
      </c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ht="16.5" customHeight="1" outlineLevel="2">
      <c r="A81" s="207">
        <f t="shared" si="35"/>
        <v>74</v>
      </c>
      <c r="B81" s="207">
        <v>18</v>
      </c>
      <c r="C81" s="245" t="s">
        <v>1210</v>
      </c>
      <c r="D81" s="209">
        <v>8102.8563347897043</v>
      </c>
      <c r="E81" s="504" t="s">
        <v>104</v>
      </c>
      <c r="F81" s="213">
        <f t="shared" si="46"/>
        <v>9570</v>
      </c>
      <c r="G81" s="207"/>
      <c r="H81" s="223">
        <f t="shared" si="36"/>
        <v>2012</v>
      </c>
      <c r="I81" s="212" t="s">
        <v>223</v>
      </c>
      <c r="J81" s="213">
        <v>9570</v>
      </c>
      <c r="K81" s="213">
        <v>0</v>
      </c>
      <c r="L81" s="213">
        <v>9570</v>
      </c>
      <c r="M81" s="213">
        <f t="shared" si="37"/>
        <v>9570</v>
      </c>
      <c r="N81" s="207"/>
      <c r="O81" s="231"/>
      <c r="P81" s="230"/>
      <c r="Q81" s="230"/>
      <c r="R81" s="230"/>
      <c r="S81" s="213">
        <f t="shared" si="38"/>
        <v>0</v>
      </c>
      <c r="T81" s="216"/>
      <c r="U81" s="207"/>
      <c r="V81" s="216"/>
      <c r="W81" s="216"/>
      <c r="X81" s="216"/>
      <c r="Y81" s="213">
        <f t="shared" si="39"/>
        <v>0</v>
      </c>
      <c r="Z81" s="222" t="s">
        <v>1177</v>
      </c>
      <c r="AA81" s="228"/>
      <c r="AB81" s="218">
        <v>10544.276930346741</v>
      </c>
      <c r="AC81" s="220"/>
      <c r="AD81" s="220"/>
      <c r="AE81" s="220" t="str">
        <f t="shared" si="40"/>
        <v/>
      </c>
      <c r="AF81" s="229"/>
      <c r="AG81" s="220" t="str">
        <f t="shared" si="41"/>
        <v>2</v>
      </c>
      <c r="AH81" s="220" t="str">
        <f t="shared" si="42"/>
        <v>1</v>
      </c>
      <c r="AI81" s="220"/>
      <c r="AJ81" s="221" t="str">
        <f t="shared" si="43"/>
        <v>2</v>
      </c>
      <c r="AK81" s="220" t="str">
        <f t="shared" si="44"/>
        <v>2.1..2</v>
      </c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ht="16.5" customHeight="1" outlineLevel="2">
      <c r="A82" s="207">
        <f t="shared" si="35"/>
        <v>75</v>
      </c>
      <c r="B82" s="207">
        <v>19</v>
      </c>
      <c r="C82" s="245" t="s">
        <v>1211</v>
      </c>
      <c r="D82" s="209">
        <v>21909.374729297306</v>
      </c>
      <c r="E82" s="504" t="s">
        <v>104</v>
      </c>
      <c r="F82" s="213">
        <f t="shared" si="46"/>
        <v>17809.66</v>
      </c>
      <c r="G82" s="207"/>
      <c r="H82" s="223">
        <f t="shared" si="36"/>
        <v>2012</v>
      </c>
      <c r="I82" s="212" t="s">
        <v>588</v>
      </c>
      <c r="J82" s="213">
        <v>17809.66</v>
      </c>
      <c r="K82" s="213">
        <v>0</v>
      </c>
      <c r="L82" s="213">
        <v>17809.66</v>
      </c>
      <c r="M82" s="213">
        <f t="shared" si="37"/>
        <v>17809.66</v>
      </c>
      <c r="N82" s="207"/>
      <c r="O82" s="231"/>
      <c r="P82" s="230"/>
      <c r="Q82" s="230"/>
      <c r="R82" s="230"/>
      <c r="S82" s="213">
        <f t="shared" si="38"/>
        <v>0</v>
      </c>
      <c r="T82" s="216"/>
      <c r="U82" s="207"/>
      <c r="V82" s="216"/>
      <c r="W82" s="216"/>
      <c r="X82" s="216"/>
      <c r="Y82" s="213">
        <f t="shared" si="39"/>
        <v>0</v>
      </c>
      <c r="Z82" s="222">
        <v>2023</v>
      </c>
      <c r="AA82" s="228" t="s">
        <v>1160</v>
      </c>
      <c r="AB82" s="218">
        <v>21952.072692700258</v>
      </c>
      <c r="AC82" s="220"/>
      <c r="AD82" s="220"/>
      <c r="AE82" s="220" t="str">
        <f t="shared" si="40"/>
        <v/>
      </c>
      <c r="AF82" s="229"/>
      <c r="AG82" s="220" t="str">
        <f t="shared" si="41"/>
        <v>2</v>
      </c>
      <c r="AH82" s="220" t="str">
        <f t="shared" si="42"/>
        <v>1</v>
      </c>
      <c r="AI82" s="220"/>
      <c r="AJ82" s="221" t="str">
        <f t="shared" si="43"/>
        <v>2</v>
      </c>
      <c r="AK82" s="220" t="str">
        <f t="shared" si="44"/>
        <v>2.1..2</v>
      </c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ht="16.5" customHeight="1" outlineLevel="1">
      <c r="A83" s="207"/>
      <c r="B83" s="235"/>
      <c r="C83" s="249" t="s">
        <v>1212</v>
      </c>
      <c r="D83" s="250">
        <f>SUM(D64:D82)</f>
        <v>194281.78701485557</v>
      </c>
      <c r="E83" s="238">
        <f>COUNTIF(E64:E82,"D") + COUNTIF(E64:E82,"DS")</f>
        <v>13</v>
      </c>
      <c r="F83" s="254">
        <f>SUBTOTAL(9,F64:F82)</f>
        <v>119679.79000000001</v>
      </c>
      <c r="G83" s="201">
        <f>COUNTIF(G64:G82,N71)</f>
        <v>4</v>
      </c>
      <c r="H83" s="240"/>
      <c r="I83" s="241">
        <v>14</v>
      </c>
      <c r="J83" s="254">
        <f t="shared" ref="J83:M83" si="47">SUBTOTAL(9,J64:J82)</f>
        <v>64641.520000000004</v>
      </c>
      <c r="K83" s="254">
        <f t="shared" si="47"/>
        <v>0</v>
      </c>
      <c r="L83" s="254">
        <f t="shared" si="47"/>
        <v>92139.520000000004</v>
      </c>
      <c r="M83" s="254">
        <f t="shared" si="47"/>
        <v>107139.52</v>
      </c>
      <c r="N83" s="201">
        <f>COUNTIF(N64:N82,G64)</f>
        <v>4</v>
      </c>
      <c r="O83" s="236">
        <v>5</v>
      </c>
      <c r="P83" s="255">
        <v>62487.990000000005</v>
      </c>
      <c r="Q83" s="255">
        <v>8359.57</v>
      </c>
      <c r="R83" s="255">
        <v>19453.77</v>
      </c>
      <c r="S83" s="254">
        <f>SUBTOTAL(9,S64:S82)</f>
        <v>37545.020000000004</v>
      </c>
      <c r="T83" s="203">
        <f>COUNTIF(T64:T82,N78)</f>
        <v>3</v>
      </c>
      <c r="U83" s="201">
        <v>3</v>
      </c>
      <c r="V83" s="203">
        <v>62487.990000000005</v>
      </c>
      <c r="W83" s="203">
        <v>8359.57</v>
      </c>
      <c r="X83" s="203">
        <v>19453.77</v>
      </c>
      <c r="Y83" s="254">
        <f>SUBTOTAL(9,Y64:Y82)</f>
        <v>34731.64</v>
      </c>
      <c r="Z83" s="243" t="s">
        <v>1138</v>
      </c>
      <c r="AA83" s="228"/>
      <c r="AB83" s="218">
        <f>SUM(AB64:AB82)</f>
        <v>191195.78744013241</v>
      </c>
      <c r="AC83" s="220"/>
      <c r="AD83" s="220"/>
      <c r="AE83" s="244">
        <f>COUNTIF(AE64:AE82,"V") + COUNTIF(AE64:AE82,"VV") + COUNTIF(AE64:AE82,"VVV")</f>
        <v>9</v>
      </c>
      <c r="AF83" s="229"/>
      <c r="AG83" s="220"/>
      <c r="AH83" s="220"/>
      <c r="AI83" s="220"/>
      <c r="AJ83" s="221"/>
      <c r="AK83" s="220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ht="16.5" customHeight="1" outlineLevel="1">
      <c r="A84" s="207">
        <f t="shared" ref="A84:A95" si="48">SUBTOTAL(3,$B$6:B84)</f>
        <v>76</v>
      </c>
      <c r="B84" s="207">
        <v>1</v>
      </c>
      <c r="C84" s="208" t="s">
        <v>1213</v>
      </c>
      <c r="D84" s="247">
        <v>2992.418267408932</v>
      </c>
      <c r="E84" s="504" t="s">
        <v>104</v>
      </c>
      <c r="F84" s="213">
        <f t="shared" ref="F84:F95" si="49">IF(M84&gt;0,M84,IF(S84&gt;0,S84,IF(Y84&gt;0,Y84,0)))</f>
        <v>2040</v>
      </c>
      <c r="G84" s="256"/>
      <c r="H84" s="223">
        <f t="shared" ref="H84:H95" si="50">VALUE(RIGHT(I84,4))</f>
        <v>2022</v>
      </c>
      <c r="I84" s="224" t="s">
        <v>159</v>
      </c>
      <c r="J84" s="257"/>
      <c r="K84" s="257"/>
      <c r="L84" s="213">
        <v>2040</v>
      </c>
      <c r="M84" s="213">
        <f t="shared" ref="M84:M95" si="51">IF(L84&gt;0,L84,IF(J84&gt;0,J84,0))</f>
        <v>2040</v>
      </c>
      <c r="N84" s="256"/>
      <c r="O84" s="258"/>
      <c r="P84" s="259"/>
      <c r="Q84" s="259"/>
      <c r="R84" s="259"/>
      <c r="S84" s="213">
        <f t="shared" ref="S84:S95" si="52">IF(R84&gt;0,R84,IF(P84&gt;0,P84,0))</f>
        <v>0</v>
      </c>
      <c r="T84" s="260"/>
      <c r="U84" s="256"/>
      <c r="V84" s="260"/>
      <c r="W84" s="260"/>
      <c r="X84" s="260"/>
      <c r="Y84" s="213">
        <f t="shared" ref="Y84:Y95" si="53">IF(X84&gt;0,X84,IF(V84&gt;0,V84,0))</f>
        <v>0</v>
      </c>
      <c r="Z84" s="222" t="s">
        <v>1097</v>
      </c>
      <c r="AA84" s="228"/>
      <c r="AB84" s="218"/>
      <c r="AC84" s="220"/>
      <c r="AD84" s="220"/>
      <c r="AE84" s="220" t="str">
        <f t="shared" ref="AE84:AE95" si="54">CONCATENATE(G84,N84,T84)</f>
        <v/>
      </c>
      <c r="AF84" s="229"/>
      <c r="AG84" s="220" t="str">
        <f t="shared" ref="AG84:AG95" si="55">IF(H84="","3",IF(H84&lt;=2018,"2","1"))</f>
        <v>1</v>
      </c>
      <c r="AH84" s="220" t="str">
        <f t="shared" ref="AH84:AH95" si="56">IF(M84&gt;0,"1","2")</f>
        <v>1</v>
      </c>
      <c r="AI84" s="220"/>
      <c r="AJ84" s="221" t="str">
        <f t="shared" ref="AJ84:AJ95" si="57">IF(S84&gt;0,"1",IF(Y84&gt;0,"1","2"))</f>
        <v>2</v>
      </c>
      <c r="AK84" s="220" t="str">
        <f t="shared" ref="AK84:AK95" si="58">CONCATENATE(AG84,".",AH84,".",AI84,".",AJ84)</f>
        <v>1.1..2</v>
      </c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ht="16.5" customHeight="1" outlineLevel="2">
      <c r="A85" s="207">
        <f t="shared" si="48"/>
        <v>77</v>
      </c>
      <c r="B85" s="207">
        <v>2</v>
      </c>
      <c r="C85" s="208" t="s">
        <v>1214</v>
      </c>
      <c r="D85" s="247">
        <v>19020.549055126812</v>
      </c>
      <c r="E85" s="504" t="s">
        <v>104</v>
      </c>
      <c r="F85" s="213">
        <f t="shared" si="49"/>
        <v>13630</v>
      </c>
      <c r="G85" s="207"/>
      <c r="H85" s="223" t="e">
        <f t="shared" si="50"/>
        <v>#VALUE!</v>
      </c>
      <c r="I85" s="212"/>
      <c r="J85" s="213"/>
      <c r="K85" s="213"/>
      <c r="L85" s="213"/>
      <c r="M85" s="213">
        <f t="shared" si="51"/>
        <v>0</v>
      </c>
      <c r="N85" s="207"/>
      <c r="O85" s="505" t="s">
        <v>243</v>
      </c>
      <c r="P85" s="230">
        <v>13630</v>
      </c>
      <c r="Q85" s="230">
        <v>0</v>
      </c>
      <c r="R85" s="230">
        <v>0</v>
      </c>
      <c r="S85" s="213">
        <f t="shared" si="52"/>
        <v>13630</v>
      </c>
      <c r="T85" s="216"/>
      <c r="U85" s="207"/>
      <c r="V85" s="216"/>
      <c r="W85" s="216"/>
      <c r="X85" s="216"/>
      <c r="Y85" s="213">
        <f t="shared" si="53"/>
        <v>0</v>
      </c>
      <c r="Z85" s="222">
        <v>2023</v>
      </c>
      <c r="AA85" s="228" t="s">
        <v>1090</v>
      </c>
      <c r="AB85" s="218"/>
      <c r="AC85" s="220"/>
      <c r="AD85" s="220"/>
      <c r="AE85" s="220" t="str">
        <f t="shared" si="54"/>
        <v/>
      </c>
      <c r="AF85" s="229"/>
      <c r="AG85" s="220" t="e">
        <f t="shared" si="55"/>
        <v>#VALUE!</v>
      </c>
      <c r="AH85" s="220" t="str">
        <f t="shared" si="56"/>
        <v>2</v>
      </c>
      <c r="AI85" s="220"/>
      <c r="AJ85" s="221" t="str">
        <f t="shared" si="57"/>
        <v>1</v>
      </c>
      <c r="AK85" s="220" t="e">
        <f t="shared" si="58"/>
        <v>#VALUE!</v>
      </c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ht="16.5" customHeight="1" outlineLevel="2">
      <c r="A86" s="207">
        <f t="shared" si="48"/>
        <v>78</v>
      </c>
      <c r="B86" s="207">
        <v>3</v>
      </c>
      <c r="C86" s="245" t="s">
        <v>1215</v>
      </c>
      <c r="D86" s="209">
        <v>2667.2948232347826</v>
      </c>
      <c r="E86" s="504" t="s">
        <v>661</v>
      </c>
      <c r="F86" s="213">
        <f t="shared" si="49"/>
        <v>0</v>
      </c>
      <c r="G86" s="207"/>
      <c r="H86" s="223" t="e">
        <f t="shared" si="50"/>
        <v>#VALUE!</v>
      </c>
      <c r="I86" s="212"/>
      <c r="J86" s="213"/>
      <c r="K86" s="213"/>
      <c r="L86" s="213"/>
      <c r="M86" s="213">
        <f t="shared" si="51"/>
        <v>0</v>
      </c>
      <c r="N86" s="207"/>
      <c r="O86" s="231"/>
      <c r="P86" s="230"/>
      <c r="Q86" s="230"/>
      <c r="R86" s="230"/>
      <c r="S86" s="213">
        <f t="shared" si="52"/>
        <v>0</v>
      </c>
      <c r="T86" s="216"/>
      <c r="U86" s="207"/>
      <c r="V86" s="216"/>
      <c r="W86" s="216"/>
      <c r="X86" s="216"/>
      <c r="Y86" s="213">
        <f t="shared" si="53"/>
        <v>0</v>
      </c>
      <c r="Z86" s="222" t="s">
        <v>1097</v>
      </c>
      <c r="AA86" s="228"/>
      <c r="AB86" s="218"/>
      <c r="AC86" s="220"/>
      <c r="AD86" s="220"/>
      <c r="AE86" s="220" t="str">
        <f t="shared" si="54"/>
        <v/>
      </c>
      <c r="AF86" s="229"/>
      <c r="AG86" s="220" t="e">
        <f t="shared" si="55"/>
        <v>#VALUE!</v>
      </c>
      <c r="AH86" s="220" t="str">
        <f t="shared" si="56"/>
        <v>2</v>
      </c>
      <c r="AI86" s="220"/>
      <c r="AJ86" s="221" t="str">
        <f t="shared" si="57"/>
        <v>2</v>
      </c>
      <c r="AK86" s="220" t="e">
        <f t="shared" si="58"/>
        <v>#VALUE!</v>
      </c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ht="16.5" customHeight="1" outlineLevel="2">
      <c r="A87" s="207">
        <f t="shared" si="48"/>
        <v>79</v>
      </c>
      <c r="B87" s="207">
        <v>4</v>
      </c>
      <c r="C87" s="245" t="s">
        <v>1216</v>
      </c>
      <c r="D87" s="209">
        <v>3220.4184385371937</v>
      </c>
      <c r="E87" s="504" t="s">
        <v>91</v>
      </c>
      <c r="F87" s="213">
        <f t="shared" si="49"/>
        <v>6302</v>
      </c>
      <c r="G87" s="207" t="s">
        <v>1076</v>
      </c>
      <c r="H87" s="223">
        <f t="shared" si="50"/>
        <v>2019</v>
      </c>
      <c r="I87" s="224" t="s">
        <v>246</v>
      </c>
      <c r="J87" s="246">
        <v>0</v>
      </c>
      <c r="K87" s="246">
        <v>0</v>
      </c>
      <c r="L87" s="246">
        <v>6302</v>
      </c>
      <c r="M87" s="213">
        <f t="shared" si="51"/>
        <v>6302</v>
      </c>
      <c r="N87" s="207"/>
      <c r="O87" s="231"/>
      <c r="P87" s="230"/>
      <c r="Q87" s="230"/>
      <c r="R87" s="230"/>
      <c r="S87" s="213">
        <f t="shared" si="52"/>
        <v>0</v>
      </c>
      <c r="T87" s="216"/>
      <c r="U87" s="207"/>
      <c r="V87" s="216"/>
      <c r="W87" s="216"/>
      <c r="X87" s="216"/>
      <c r="Y87" s="213">
        <f t="shared" si="53"/>
        <v>0</v>
      </c>
      <c r="Z87" s="222" t="s">
        <v>1097</v>
      </c>
      <c r="AA87" s="228"/>
      <c r="AB87" s="218"/>
      <c r="AC87" s="220"/>
      <c r="AD87" s="220"/>
      <c r="AE87" s="220" t="str">
        <f t="shared" si="54"/>
        <v>V</v>
      </c>
      <c r="AF87" s="229"/>
      <c r="AG87" s="220" t="str">
        <f t="shared" si="55"/>
        <v>1</v>
      </c>
      <c r="AH87" s="220" t="str">
        <f t="shared" si="56"/>
        <v>1</v>
      </c>
      <c r="AI87" s="220"/>
      <c r="AJ87" s="221" t="str">
        <f t="shared" si="57"/>
        <v>2</v>
      </c>
      <c r="AK87" s="220" t="str">
        <f t="shared" si="58"/>
        <v>1.1..2</v>
      </c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ht="16.5" customHeight="1" outlineLevel="2">
      <c r="A88" s="207">
        <f t="shared" si="48"/>
        <v>80</v>
      </c>
      <c r="B88" s="207">
        <v>5</v>
      </c>
      <c r="C88" s="245" t="s">
        <v>1217</v>
      </c>
      <c r="D88" s="209">
        <v>3436.2346712048179</v>
      </c>
      <c r="E88" s="504" t="s">
        <v>91</v>
      </c>
      <c r="F88" s="213">
        <f t="shared" si="49"/>
        <v>3709</v>
      </c>
      <c r="G88" s="207" t="s">
        <v>1076</v>
      </c>
      <c r="H88" s="223">
        <f t="shared" si="50"/>
        <v>2020</v>
      </c>
      <c r="I88" s="224" t="s">
        <v>248</v>
      </c>
      <c r="J88" s="246">
        <v>0</v>
      </c>
      <c r="K88" s="246">
        <v>0</v>
      </c>
      <c r="L88" s="246">
        <v>3709</v>
      </c>
      <c r="M88" s="213">
        <f t="shared" si="51"/>
        <v>3709</v>
      </c>
      <c r="N88" s="207"/>
      <c r="O88" s="231"/>
      <c r="P88" s="230"/>
      <c r="Q88" s="230"/>
      <c r="R88" s="230"/>
      <c r="S88" s="213">
        <f t="shared" si="52"/>
        <v>0</v>
      </c>
      <c r="T88" s="216"/>
      <c r="U88" s="207"/>
      <c r="V88" s="216"/>
      <c r="W88" s="216"/>
      <c r="X88" s="216"/>
      <c r="Y88" s="213">
        <f t="shared" si="53"/>
        <v>0</v>
      </c>
      <c r="Z88" s="222">
        <v>2020</v>
      </c>
      <c r="AA88" s="228"/>
      <c r="AB88" s="218"/>
      <c r="AC88" s="220"/>
      <c r="AD88" s="220"/>
      <c r="AE88" s="220" t="str">
        <f t="shared" si="54"/>
        <v>V</v>
      </c>
      <c r="AF88" s="229"/>
      <c r="AG88" s="220" t="str">
        <f t="shared" si="55"/>
        <v>1</v>
      </c>
      <c r="AH88" s="220" t="str">
        <f t="shared" si="56"/>
        <v>1</v>
      </c>
      <c r="AI88" s="220"/>
      <c r="AJ88" s="221" t="str">
        <f t="shared" si="57"/>
        <v>2</v>
      </c>
      <c r="AK88" s="220" t="str">
        <f t="shared" si="58"/>
        <v>1.1..2</v>
      </c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ht="16.5" customHeight="1" outlineLevel="2">
      <c r="A89" s="207">
        <f t="shared" si="48"/>
        <v>81</v>
      </c>
      <c r="B89" s="207">
        <v>6</v>
      </c>
      <c r="C89" s="245" t="s">
        <v>1218</v>
      </c>
      <c r="D89" s="209">
        <v>217.36462130400599</v>
      </c>
      <c r="E89" s="504" t="s">
        <v>91</v>
      </c>
      <c r="F89" s="213">
        <f t="shared" si="49"/>
        <v>155</v>
      </c>
      <c r="G89" s="207" t="s">
        <v>1076</v>
      </c>
      <c r="H89" s="223">
        <f t="shared" si="50"/>
        <v>2019</v>
      </c>
      <c r="I89" s="224" t="s">
        <v>250</v>
      </c>
      <c r="J89" s="246"/>
      <c r="K89" s="246"/>
      <c r="L89" s="230">
        <v>155</v>
      </c>
      <c r="M89" s="213">
        <f t="shared" si="51"/>
        <v>155</v>
      </c>
      <c r="N89" s="207"/>
      <c r="O89" s="231"/>
      <c r="P89" s="230"/>
      <c r="Q89" s="230"/>
      <c r="R89" s="230"/>
      <c r="S89" s="213">
        <f t="shared" si="52"/>
        <v>0</v>
      </c>
      <c r="T89" s="216"/>
      <c r="U89" s="207"/>
      <c r="V89" s="216"/>
      <c r="W89" s="216"/>
      <c r="X89" s="216"/>
      <c r="Y89" s="213">
        <f t="shared" si="53"/>
        <v>0</v>
      </c>
      <c r="Z89" s="222">
        <v>2020</v>
      </c>
      <c r="AA89" s="228"/>
      <c r="AB89" s="218"/>
      <c r="AC89" s="220"/>
      <c r="AD89" s="220"/>
      <c r="AE89" s="220" t="str">
        <f t="shared" si="54"/>
        <v>V</v>
      </c>
      <c r="AF89" s="229"/>
      <c r="AG89" s="220" t="str">
        <f t="shared" si="55"/>
        <v>1</v>
      </c>
      <c r="AH89" s="220" t="str">
        <f t="shared" si="56"/>
        <v>1</v>
      </c>
      <c r="AI89" s="220"/>
      <c r="AJ89" s="221" t="str">
        <f t="shared" si="57"/>
        <v>2</v>
      </c>
      <c r="AK89" s="220" t="str">
        <f t="shared" si="58"/>
        <v>1.1..2</v>
      </c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ht="16.5" customHeight="1" outlineLevel="2">
      <c r="A90" s="207">
        <f t="shared" si="48"/>
        <v>82</v>
      </c>
      <c r="B90" s="207">
        <v>7</v>
      </c>
      <c r="C90" s="245" t="s">
        <v>1219</v>
      </c>
      <c r="D90" s="209">
        <v>3.2713721111999998</v>
      </c>
      <c r="E90" s="504" t="s">
        <v>123</v>
      </c>
      <c r="F90" s="213">
        <f t="shared" si="49"/>
        <v>0</v>
      </c>
      <c r="G90" s="207"/>
      <c r="H90" s="223">
        <f t="shared" si="50"/>
        <v>2020</v>
      </c>
      <c r="I90" s="224" t="s">
        <v>252</v>
      </c>
      <c r="J90" s="246"/>
      <c r="K90" s="246"/>
      <c r="L90" s="230"/>
      <c r="M90" s="213">
        <f t="shared" si="51"/>
        <v>0</v>
      </c>
      <c r="N90" s="207"/>
      <c r="O90" s="231"/>
      <c r="P90" s="230"/>
      <c r="Q90" s="230"/>
      <c r="R90" s="230"/>
      <c r="S90" s="213">
        <f t="shared" si="52"/>
        <v>0</v>
      </c>
      <c r="T90" s="216"/>
      <c r="U90" s="207"/>
      <c r="V90" s="216"/>
      <c r="W90" s="216"/>
      <c r="X90" s="216"/>
      <c r="Y90" s="213">
        <f t="shared" si="53"/>
        <v>0</v>
      </c>
      <c r="Z90" s="222" t="s">
        <v>1097</v>
      </c>
      <c r="AA90" s="228"/>
      <c r="AB90" s="218"/>
      <c r="AC90" s="220"/>
      <c r="AD90" s="220"/>
      <c r="AE90" s="220" t="str">
        <f t="shared" si="54"/>
        <v/>
      </c>
      <c r="AF90" s="229"/>
      <c r="AG90" s="220" t="str">
        <f t="shared" si="55"/>
        <v>1</v>
      </c>
      <c r="AH90" s="220" t="str">
        <f t="shared" si="56"/>
        <v>2</v>
      </c>
      <c r="AI90" s="220"/>
      <c r="AJ90" s="221" t="str">
        <f t="shared" si="57"/>
        <v>2</v>
      </c>
      <c r="AK90" s="220" t="str">
        <f t="shared" si="58"/>
        <v>1.2..2</v>
      </c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ht="16.5" customHeight="1" outlineLevel="2">
      <c r="A91" s="207">
        <f t="shared" si="48"/>
        <v>83</v>
      </c>
      <c r="B91" s="207">
        <v>8</v>
      </c>
      <c r="C91" s="245" t="s">
        <v>1220</v>
      </c>
      <c r="D91" s="209">
        <v>6212.5789780315899</v>
      </c>
      <c r="E91" s="504" t="s">
        <v>661</v>
      </c>
      <c r="F91" s="213">
        <f t="shared" si="49"/>
        <v>0</v>
      </c>
      <c r="G91" s="207"/>
      <c r="H91" s="223" t="e">
        <f t="shared" si="50"/>
        <v>#VALUE!</v>
      </c>
      <c r="I91" s="248"/>
      <c r="J91" s="246"/>
      <c r="K91" s="246"/>
      <c r="L91" s="230"/>
      <c r="M91" s="213">
        <f t="shared" si="51"/>
        <v>0</v>
      </c>
      <c r="N91" s="207"/>
      <c r="O91" s="231"/>
      <c r="P91" s="230"/>
      <c r="Q91" s="230"/>
      <c r="R91" s="230"/>
      <c r="S91" s="213">
        <f t="shared" si="52"/>
        <v>0</v>
      </c>
      <c r="T91" s="216"/>
      <c r="U91" s="207"/>
      <c r="V91" s="216"/>
      <c r="W91" s="216"/>
      <c r="X91" s="216"/>
      <c r="Y91" s="213">
        <f t="shared" si="53"/>
        <v>0</v>
      </c>
      <c r="Z91" s="222">
        <v>2023</v>
      </c>
      <c r="AA91" s="228" t="s">
        <v>1090</v>
      </c>
      <c r="AB91" s="218"/>
      <c r="AC91" s="220"/>
      <c r="AD91" s="220"/>
      <c r="AE91" s="220" t="str">
        <f t="shared" si="54"/>
        <v/>
      </c>
      <c r="AF91" s="229"/>
      <c r="AG91" s="220" t="e">
        <f t="shared" si="55"/>
        <v>#VALUE!</v>
      </c>
      <c r="AH91" s="220" t="str">
        <f t="shared" si="56"/>
        <v>2</v>
      </c>
      <c r="AI91" s="220"/>
      <c r="AJ91" s="221" t="str">
        <f t="shared" si="57"/>
        <v>2</v>
      </c>
      <c r="AK91" s="220" t="e">
        <f t="shared" si="58"/>
        <v>#VALUE!</v>
      </c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 ht="16.5" customHeight="1" outlineLevel="2">
      <c r="A92" s="207">
        <f t="shared" si="48"/>
        <v>84</v>
      </c>
      <c r="B92" s="207">
        <v>9</v>
      </c>
      <c r="C92" s="245" t="s">
        <v>1221</v>
      </c>
      <c r="D92" s="209">
        <v>6718.2441787090147</v>
      </c>
      <c r="E92" s="504" t="s">
        <v>91</v>
      </c>
      <c r="F92" s="213">
        <f t="shared" si="49"/>
        <v>5866</v>
      </c>
      <c r="G92" s="207" t="s">
        <v>1076</v>
      </c>
      <c r="H92" s="223">
        <f t="shared" si="50"/>
        <v>2019</v>
      </c>
      <c r="I92" s="224" t="s">
        <v>256</v>
      </c>
      <c r="J92" s="246"/>
      <c r="K92" s="246">
        <v>0</v>
      </c>
      <c r="L92" s="246">
        <v>5866</v>
      </c>
      <c r="M92" s="213">
        <f t="shared" si="51"/>
        <v>5866</v>
      </c>
      <c r="N92" s="207"/>
      <c r="O92" s="231"/>
      <c r="P92" s="230"/>
      <c r="Q92" s="230"/>
      <c r="R92" s="230"/>
      <c r="S92" s="213">
        <f t="shared" si="52"/>
        <v>0</v>
      </c>
      <c r="T92" s="216"/>
      <c r="U92" s="207"/>
      <c r="V92" s="216"/>
      <c r="W92" s="216"/>
      <c r="X92" s="216"/>
      <c r="Y92" s="213">
        <f t="shared" si="53"/>
        <v>0</v>
      </c>
      <c r="Z92" s="222">
        <v>2020</v>
      </c>
      <c r="AA92" s="228"/>
      <c r="AB92" s="218"/>
      <c r="AC92" s="220"/>
      <c r="AD92" s="220"/>
      <c r="AE92" s="220" t="str">
        <f t="shared" si="54"/>
        <v>V</v>
      </c>
      <c r="AF92" s="229"/>
      <c r="AG92" s="220" t="str">
        <f t="shared" si="55"/>
        <v>1</v>
      </c>
      <c r="AH92" s="220" t="str">
        <f t="shared" si="56"/>
        <v>1</v>
      </c>
      <c r="AI92" s="220"/>
      <c r="AJ92" s="221" t="str">
        <f t="shared" si="57"/>
        <v>2</v>
      </c>
      <c r="AK92" s="220" t="str">
        <f t="shared" si="58"/>
        <v>1.1..2</v>
      </c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 ht="16.5" customHeight="1" outlineLevel="2">
      <c r="A93" s="207">
        <f t="shared" si="48"/>
        <v>85</v>
      </c>
      <c r="B93" s="207">
        <v>10</v>
      </c>
      <c r="C93" s="245" t="s">
        <v>1222</v>
      </c>
      <c r="D93" s="209">
        <v>12185.639641195788</v>
      </c>
      <c r="E93" s="504" t="s">
        <v>104</v>
      </c>
      <c r="F93" s="213">
        <f t="shared" si="49"/>
        <v>0</v>
      </c>
      <c r="G93" s="207"/>
      <c r="H93" s="223" t="e">
        <f t="shared" si="50"/>
        <v>#VALUE!</v>
      </c>
      <c r="I93" s="212"/>
      <c r="J93" s="213"/>
      <c r="K93" s="213"/>
      <c r="L93" s="213"/>
      <c r="M93" s="213">
        <f t="shared" si="51"/>
        <v>0</v>
      </c>
      <c r="N93" s="207"/>
      <c r="O93" s="505" t="s">
        <v>258</v>
      </c>
      <c r="P93" s="230">
        <v>0</v>
      </c>
      <c r="Q93" s="230">
        <v>0</v>
      </c>
      <c r="R93" s="230">
        <v>0</v>
      </c>
      <c r="S93" s="213">
        <f t="shared" si="52"/>
        <v>0</v>
      </c>
      <c r="T93" s="216"/>
      <c r="U93" s="207"/>
      <c r="V93" s="216"/>
      <c r="W93" s="216"/>
      <c r="X93" s="216"/>
      <c r="Y93" s="213">
        <f t="shared" si="53"/>
        <v>0</v>
      </c>
      <c r="Z93" s="222">
        <v>2023</v>
      </c>
      <c r="AA93" s="228" t="s">
        <v>1090</v>
      </c>
      <c r="AB93" s="218"/>
      <c r="AC93" s="220"/>
      <c r="AD93" s="220"/>
      <c r="AE93" s="220" t="str">
        <f t="shared" si="54"/>
        <v/>
      </c>
      <c r="AF93" s="229"/>
      <c r="AG93" s="220" t="e">
        <f t="shared" si="55"/>
        <v>#VALUE!</v>
      </c>
      <c r="AH93" s="220" t="str">
        <f t="shared" si="56"/>
        <v>2</v>
      </c>
      <c r="AI93" s="220"/>
      <c r="AJ93" s="221" t="str">
        <f t="shared" si="57"/>
        <v>2</v>
      </c>
      <c r="AK93" s="220" t="e">
        <f t="shared" si="58"/>
        <v>#VALUE!</v>
      </c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 ht="16.5" customHeight="1" outlineLevel="2">
      <c r="A94" s="207">
        <f t="shared" si="48"/>
        <v>86</v>
      </c>
      <c r="B94" s="207">
        <v>11</v>
      </c>
      <c r="C94" s="245" t="s">
        <v>1223</v>
      </c>
      <c r="D94" s="209">
        <v>1683.6422707623726</v>
      </c>
      <c r="E94" s="504" t="s">
        <v>91</v>
      </c>
      <c r="F94" s="213">
        <f t="shared" si="49"/>
        <v>1945</v>
      </c>
      <c r="G94" s="207" t="s">
        <v>1076</v>
      </c>
      <c r="H94" s="223">
        <f t="shared" si="50"/>
        <v>2020</v>
      </c>
      <c r="I94" s="224" t="s">
        <v>260</v>
      </c>
      <c r="J94" s="246">
        <v>0</v>
      </c>
      <c r="K94" s="246">
        <v>0</v>
      </c>
      <c r="L94" s="246">
        <v>1945</v>
      </c>
      <c r="M94" s="213">
        <f t="shared" si="51"/>
        <v>1945</v>
      </c>
      <c r="N94" s="207"/>
      <c r="O94" s="505" t="s">
        <v>234</v>
      </c>
      <c r="P94" s="230">
        <v>0</v>
      </c>
      <c r="Q94" s="230">
        <v>0</v>
      </c>
      <c r="R94" s="230">
        <v>0</v>
      </c>
      <c r="S94" s="213">
        <f t="shared" si="52"/>
        <v>0</v>
      </c>
      <c r="T94" s="216"/>
      <c r="U94" s="207"/>
      <c r="V94" s="216"/>
      <c r="W94" s="216"/>
      <c r="X94" s="216"/>
      <c r="Y94" s="213">
        <f t="shared" si="53"/>
        <v>0</v>
      </c>
      <c r="Z94" s="222" t="s">
        <v>1097</v>
      </c>
      <c r="AA94" s="228"/>
      <c r="AB94" s="218"/>
      <c r="AC94" s="220"/>
      <c r="AD94" s="220"/>
      <c r="AE94" s="220" t="str">
        <f t="shared" si="54"/>
        <v>V</v>
      </c>
      <c r="AF94" s="229"/>
      <c r="AG94" s="220" t="str">
        <f t="shared" si="55"/>
        <v>1</v>
      </c>
      <c r="AH94" s="220" t="str">
        <f t="shared" si="56"/>
        <v>1</v>
      </c>
      <c r="AI94" s="220"/>
      <c r="AJ94" s="221" t="str">
        <f t="shared" si="57"/>
        <v>2</v>
      </c>
      <c r="AK94" s="220" t="str">
        <f t="shared" si="58"/>
        <v>1.1..2</v>
      </c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 ht="16.5" customHeight="1" outlineLevel="2">
      <c r="A95" s="207">
        <f t="shared" si="48"/>
        <v>87</v>
      </c>
      <c r="B95" s="207">
        <v>12</v>
      </c>
      <c r="C95" s="245" t="s">
        <v>1224</v>
      </c>
      <c r="D95" s="209">
        <v>4331.7072122638456</v>
      </c>
      <c r="E95" s="504" t="s">
        <v>91</v>
      </c>
      <c r="F95" s="213">
        <f t="shared" si="49"/>
        <v>4423</v>
      </c>
      <c r="G95" s="207" t="s">
        <v>1076</v>
      </c>
      <c r="H95" s="223">
        <f t="shared" si="50"/>
        <v>2020</v>
      </c>
      <c r="I95" s="224" t="s">
        <v>262</v>
      </c>
      <c r="J95" s="246">
        <v>0</v>
      </c>
      <c r="K95" s="246">
        <v>0</v>
      </c>
      <c r="L95" s="246">
        <v>4423</v>
      </c>
      <c r="M95" s="213">
        <f t="shared" si="51"/>
        <v>4423</v>
      </c>
      <c r="N95" s="207"/>
      <c r="O95" s="505" t="s">
        <v>1225</v>
      </c>
      <c r="P95" s="230">
        <v>0</v>
      </c>
      <c r="Q95" s="230">
        <v>0</v>
      </c>
      <c r="R95" s="230">
        <v>0</v>
      </c>
      <c r="S95" s="213">
        <f t="shared" si="52"/>
        <v>0</v>
      </c>
      <c r="T95" s="216"/>
      <c r="U95" s="207"/>
      <c r="V95" s="216"/>
      <c r="W95" s="216"/>
      <c r="X95" s="216"/>
      <c r="Y95" s="213">
        <f t="shared" si="53"/>
        <v>0</v>
      </c>
      <c r="Z95" s="222">
        <v>2020</v>
      </c>
      <c r="AA95" s="228"/>
      <c r="AB95" s="218"/>
      <c r="AC95" s="220"/>
      <c r="AD95" s="220"/>
      <c r="AE95" s="220" t="str">
        <f t="shared" si="54"/>
        <v>V</v>
      </c>
      <c r="AF95" s="229"/>
      <c r="AG95" s="220" t="str">
        <f t="shared" si="55"/>
        <v>1</v>
      </c>
      <c r="AH95" s="220" t="str">
        <f t="shared" si="56"/>
        <v>1</v>
      </c>
      <c r="AI95" s="220"/>
      <c r="AJ95" s="221" t="str">
        <f t="shared" si="57"/>
        <v>2</v>
      </c>
      <c r="AK95" s="220" t="str">
        <f t="shared" si="58"/>
        <v>1.1..2</v>
      </c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 ht="16.5" customHeight="1" outlineLevel="1">
      <c r="A96" s="207"/>
      <c r="B96" s="235"/>
      <c r="C96" s="249" t="s">
        <v>1226</v>
      </c>
      <c r="D96" s="250">
        <f>SUM(D84:D95)</f>
        <v>62689.363529890354</v>
      </c>
      <c r="E96" s="238">
        <f>COUNTIF(E84:E95,"D") + COUNTIF(E84:E95,"DS")</f>
        <v>9</v>
      </c>
      <c r="F96" s="261">
        <f>SUBTOTAL(9,F84:F95)</f>
        <v>38070</v>
      </c>
      <c r="G96" s="201">
        <f>COUNTIF(G84:G95,G87)</f>
        <v>6</v>
      </c>
      <c r="H96" s="262"/>
      <c r="I96" s="263">
        <v>8</v>
      </c>
      <c r="J96" s="261">
        <f t="shared" ref="J96:K96" si="59">SUBTOTAL(9,J85:J95)</f>
        <v>0</v>
      </c>
      <c r="K96" s="261">
        <f t="shared" si="59"/>
        <v>0</v>
      </c>
      <c r="L96" s="261">
        <f t="shared" ref="L96:M96" si="60">SUBTOTAL(9,L84:L95)</f>
        <v>24440</v>
      </c>
      <c r="M96" s="261">
        <f t="shared" si="60"/>
        <v>24440</v>
      </c>
      <c r="N96" s="201">
        <f>COUNTIF(N84:N95,N87)</f>
        <v>0</v>
      </c>
      <c r="O96" s="236">
        <v>4</v>
      </c>
      <c r="P96" s="255">
        <v>13630</v>
      </c>
      <c r="Q96" s="255">
        <v>0</v>
      </c>
      <c r="R96" s="255">
        <v>0</v>
      </c>
      <c r="S96" s="261">
        <f>SUBTOTAL(9,S84:S95)</f>
        <v>13630</v>
      </c>
      <c r="T96" s="201">
        <f>COUNTIF(T84:T95,T87)</f>
        <v>0</v>
      </c>
      <c r="U96" s="201"/>
      <c r="V96" s="203">
        <v>13630</v>
      </c>
      <c r="W96" s="203">
        <v>0</v>
      </c>
      <c r="X96" s="203">
        <v>0</v>
      </c>
      <c r="Y96" s="261">
        <f>SUBTOTAL(9,Y84:Y95)</f>
        <v>0</v>
      </c>
      <c r="Z96" s="243" t="s">
        <v>1138</v>
      </c>
      <c r="AA96" s="228"/>
      <c r="AB96" s="218"/>
      <c r="AC96" s="220"/>
      <c r="AD96" s="220"/>
      <c r="AE96" s="244">
        <f>COUNTIF(AE84:AE95,"V") + COUNTIF(AE84:AE95,"VV") + COUNTIF(AE84:AE95,"VVV")</f>
        <v>6</v>
      </c>
      <c r="AF96" s="229"/>
      <c r="AG96" s="220"/>
      <c r="AH96" s="220"/>
      <c r="AI96" s="220"/>
      <c r="AJ96" s="221"/>
      <c r="AK96" s="220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 ht="16.5" customHeight="1" outlineLevel="2">
      <c r="A97" s="207">
        <f t="shared" ref="A97:A107" si="61">SUBTOTAL(3,$B$6:B97)</f>
        <v>88</v>
      </c>
      <c r="B97" s="207">
        <v>1</v>
      </c>
      <c r="C97" s="245" t="s">
        <v>1227</v>
      </c>
      <c r="D97" s="209">
        <v>7287.3484691504718</v>
      </c>
      <c r="E97" s="504" t="s">
        <v>104</v>
      </c>
      <c r="F97" s="213">
        <f t="shared" ref="F97:F107" si="62">IF(M97&gt;0,M97,IF(S97&gt;0,S97,IF(Y97&gt;0,Y97,0)))</f>
        <v>8670</v>
      </c>
      <c r="G97" s="207"/>
      <c r="H97" s="223">
        <f t="shared" ref="H97:H107" si="63">VALUE(RIGHT(I97,4))</f>
        <v>2013</v>
      </c>
      <c r="I97" s="212" t="s">
        <v>913</v>
      </c>
      <c r="J97" s="213">
        <v>8670</v>
      </c>
      <c r="K97" s="213">
        <v>0</v>
      </c>
      <c r="L97" s="213">
        <v>8670</v>
      </c>
      <c r="M97" s="213">
        <f t="shared" ref="M97:M107" si="64">IF(L97&gt;0,L97,IF(J97&gt;0,J97,0))</f>
        <v>8670</v>
      </c>
      <c r="N97" s="207"/>
      <c r="O97" s="231" t="s">
        <v>1228</v>
      </c>
      <c r="P97" s="230">
        <v>8881.4599999999991</v>
      </c>
      <c r="Q97" s="230">
        <v>0</v>
      </c>
      <c r="R97" s="230">
        <v>8881.4599999999991</v>
      </c>
      <c r="S97" s="213">
        <f t="shared" ref="S97:S106" si="65">IF(R97&gt;0,R97,IF(P97&gt;0,P97,0))</f>
        <v>8881.4599999999991</v>
      </c>
      <c r="T97" s="216"/>
      <c r="U97" s="207"/>
      <c r="V97" s="216"/>
      <c r="W97" s="216"/>
      <c r="X97" s="216"/>
      <c r="Y97" s="213">
        <f t="shared" ref="Y97:Y106" si="66">IF(X97&gt;0,X97,IF(V97&gt;0,V97,0))</f>
        <v>0</v>
      </c>
      <c r="Z97" s="222">
        <v>2023</v>
      </c>
      <c r="AA97" s="228" t="s">
        <v>1090</v>
      </c>
      <c r="AB97" s="218"/>
      <c r="AC97" s="220"/>
      <c r="AD97" s="220"/>
      <c r="AE97" s="220" t="str">
        <f t="shared" ref="AE97:AE107" si="67">CONCATENATE(G97,N97,T97)</f>
        <v/>
      </c>
      <c r="AF97" s="229"/>
      <c r="AG97" s="220" t="str">
        <f t="shared" ref="AG97:AG107" si="68">IF(H97="","3",IF(H97&lt;=2018,"2","1"))</f>
        <v>2</v>
      </c>
      <c r="AH97" s="220" t="str">
        <f t="shared" ref="AH97:AH107" si="69">IF(M97&gt;0,"1","2")</f>
        <v>1</v>
      </c>
      <c r="AI97" s="220"/>
      <c r="AJ97" s="221" t="str">
        <f t="shared" ref="AJ97:AJ107" si="70">IF(S97&gt;0,"1",IF(Y97&gt;0,"1","2"))</f>
        <v>1</v>
      </c>
      <c r="AK97" s="220" t="str">
        <f t="shared" ref="AK97:AK107" si="71">CONCATENATE(AG97,".",AH97,".",AI97,".",AJ97)</f>
        <v>2.1..1</v>
      </c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 ht="16.5" customHeight="1" outlineLevel="2">
      <c r="A98" s="207">
        <f t="shared" si="61"/>
        <v>89</v>
      </c>
      <c r="B98" s="207">
        <v>2</v>
      </c>
      <c r="C98" s="245" t="s">
        <v>1229</v>
      </c>
      <c r="D98" s="209">
        <v>4439.0625036094234</v>
      </c>
      <c r="E98" s="504" t="s">
        <v>91</v>
      </c>
      <c r="F98" s="213">
        <f t="shared" si="62"/>
        <v>5288</v>
      </c>
      <c r="G98" s="207"/>
      <c r="H98" s="223">
        <f t="shared" si="63"/>
        <v>2013</v>
      </c>
      <c r="I98" s="212" t="s">
        <v>941</v>
      </c>
      <c r="J98" s="213">
        <v>0</v>
      </c>
      <c r="K98" s="213">
        <v>0</v>
      </c>
      <c r="L98" s="213">
        <v>0</v>
      </c>
      <c r="M98" s="213">
        <f t="shared" si="64"/>
        <v>0</v>
      </c>
      <c r="N98" s="207"/>
      <c r="O98" s="231" t="s">
        <v>147</v>
      </c>
      <c r="P98" s="230"/>
      <c r="Q98" s="230"/>
      <c r="R98" s="230"/>
      <c r="S98" s="213">
        <f t="shared" si="65"/>
        <v>0</v>
      </c>
      <c r="T98" s="207" t="s">
        <v>1076</v>
      </c>
      <c r="U98" s="207" t="s">
        <v>277</v>
      </c>
      <c r="V98" s="216">
        <v>5288</v>
      </c>
      <c r="W98" s="216">
        <v>0</v>
      </c>
      <c r="X98" s="216">
        <v>0</v>
      </c>
      <c r="Y98" s="213">
        <f t="shared" si="66"/>
        <v>5288</v>
      </c>
      <c r="Z98" s="222">
        <v>2020</v>
      </c>
      <c r="AA98" s="228"/>
      <c r="AB98" s="218"/>
      <c r="AC98" s="220"/>
      <c r="AD98" s="220"/>
      <c r="AE98" s="220" t="str">
        <f t="shared" si="67"/>
        <v>V</v>
      </c>
      <c r="AF98" s="229"/>
      <c r="AG98" s="220" t="str">
        <f t="shared" si="68"/>
        <v>2</v>
      </c>
      <c r="AH98" s="220" t="str">
        <f t="shared" si="69"/>
        <v>2</v>
      </c>
      <c r="AI98" s="220"/>
      <c r="AJ98" s="221" t="str">
        <f t="shared" si="70"/>
        <v>1</v>
      </c>
      <c r="AK98" s="220" t="str">
        <f t="shared" si="71"/>
        <v>2.2..1</v>
      </c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 ht="16.5" customHeight="1" outlineLevel="2">
      <c r="A99" s="207">
        <f t="shared" si="61"/>
        <v>90</v>
      </c>
      <c r="B99" s="207">
        <v>3</v>
      </c>
      <c r="C99" s="245" t="s">
        <v>1230</v>
      </c>
      <c r="D99" s="209">
        <v>12876.112196200453</v>
      </c>
      <c r="E99" s="504" t="s">
        <v>104</v>
      </c>
      <c r="F99" s="213">
        <f t="shared" si="62"/>
        <v>33022</v>
      </c>
      <c r="G99" s="207"/>
      <c r="H99" s="223">
        <f t="shared" si="63"/>
        <v>2012</v>
      </c>
      <c r="I99" s="212" t="s">
        <v>279</v>
      </c>
      <c r="J99" s="213">
        <v>33022</v>
      </c>
      <c r="K99" s="213">
        <v>0</v>
      </c>
      <c r="L99" s="213">
        <v>33022</v>
      </c>
      <c r="M99" s="213">
        <f t="shared" si="64"/>
        <v>33022</v>
      </c>
      <c r="N99" s="207"/>
      <c r="O99" s="231" t="s">
        <v>331</v>
      </c>
      <c r="P99" s="230">
        <v>9000</v>
      </c>
      <c r="Q99" s="230">
        <v>0</v>
      </c>
      <c r="R99" s="230">
        <v>9000</v>
      </c>
      <c r="S99" s="213">
        <f t="shared" si="65"/>
        <v>9000</v>
      </c>
      <c r="T99" s="216"/>
      <c r="U99" s="207"/>
      <c r="V99" s="216"/>
      <c r="W99" s="216"/>
      <c r="X99" s="216"/>
      <c r="Y99" s="213">
        <f t="shared" si="66"/>
        <v>0</v>
      </c>
      <c r="Z99" s="222">
        <v>2023</v>
      </c>
      <c r="AA99" s="228" t="s">
        <v>1090</v>
      </c>
      <c r="AB99" s="218"/>
      <c r="AC99" s="220"/>
      <c r="AD99" s="220"/>
      <c r="AE99" s="220" t="str">
        <f t="shared" si="67"/>
        <v/>
      </c>
      <c r="AF99" s="229"/>
      <c r="AG99" s="220" t="str">
        <f t="shared" si="68"/>
        <v>2</v>
      </c>
      <c r="AH99" s="220" t="str">
        <f t="shared" si="69"/>
        <v>1</v>
      </c>
      <c r="AI99" s="220"/>
      <c r="AJ99" s="221" t="str">
        <f t="shared" si="70"/>
        <v>1</v>
      </c>
      <c r="AK99" s="220" t="str">
        <f t="shared" si="71"/>
        <v>2.1..1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 ht="16.5" customHeight="1" outlineLevel="2">
      <c r="A100" s="207">
        <f t="shared" si="61"/>
        <v>91</v>
      </c>
      <c r="B100" s="207">
        <v>4</v>
      </c>
      <c r="C100" s="245" t="s">
        <v>1231</v>
      </c>
      <c r="D100" s="209">
        <v>520.3251967200689</v>
      </c>
      <c r="E100" s="504" t="s">
        <v>123</v>
      </c>
      <c r="F100" s="213">
        <f t="shared" si="62"/>
        <v>0</v>
      </c>
      <c r="G100" s="207"/>
      <c r="H100" s="223">
        <f t="shared" si="63"/>
        <v>2013</v>
      </c>
      <c r="I100" s="212" t="s">
        <v>941</v>
      </c>
      <c r="J100" s="213"/>
      <c r="K100" s="213"/>
      <c r="L100" s="213"/>
      <c r="M100" s="213">
        <f t="shared" si="64"/>
        <v>0</v>
      </c>
      <c r="N100" s="207"/>
      <c r="O100" s="231"/>
      <c r="P100" s="230"/>
      <c r="Q100" s="230"/>
      <c r="R100" s="230"/>
      <c r="S100" s="213">
        <f t="shared" si="65"/>
        <v>0</v>
      </c>
      <c r="T100" s="216"/>
      <c r="U100" s="207"/>
      <c r="V100" s="216"/>
      <c r="W100" s="216"/>
      <c r="X100" s="216"/>
      <c r="Y100" s="213">
        <f t="shared" si="66"/>
        <v>0</v>
      </c>
      <c r="Z100" s="222" t="s">
        <v>1097</v>
      </c>
      <c r="AA100" s="228"/>
      <c r="AB100" s="218"/>
      <c r="AC100" s="220"/>
      <c r="AD100" s="220"/>
      <c r="AE100" s="220" t="str">
        <f t="shared" si="67"/>
        <v/>
      </c>
      <c r="AF100" s="229"/>
      <c r="AG100" s="220" t="str">
        <f t="shared" si="68"/>
        <v>2</v>
      </c>
      <c r="AH100" s="220" t="str">
        <f t="shared" si="69"/>
        <v>2</v>
      </c>
      <c r="AI100" s="220"/>
      <c r="AJ100" s="221" t="str">
        <f t="shared" si="70"/>
        <v>2</v>
      </c>
      <c r="AK100" s="220" t="str">
        <f t="shared" si="71"/>
        <v>2.2..2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 ht="16.5" customHeight="1" outlineLevel="2">
      <c r="A101" s="207">
        <f t="shared" si="61"/>
        <v>92</v>
      </c>
      <c r="B101" s="207">
        <v>5</v>
      </c>
      <c r="C101" s="245" t="s">
        <v>1232</v>
      </c>
      <c r="D101" s="209">
        <v>3951.8564539220347</v>
      </c>
      <c r="E101" s="504" t="s">
        <v>123</v>
      </c>
      <c r="F101" s="213">
        <f t="shared" si="62"/>
        <v>0</v>
      </c>
      <c r="G101" s="207"/>
      <c r="H101" s="223">
        <f t="shared" si="63"/>
        <v>2012</v>
      </c>
      <c r="I101" s="212" t="s">
        <v>801</v>
      </c>
      <c r="J101" s="213"/>
      <c r="K101" s="213"/>
      <c r="L101" s="213"/>
      <c r="M101" s="213">
        <f t="shared" si="64"/>
        <v>0</v>
      </c>
      <c r="N101" s="207"/>
      <c r="O101" s="231"/>
      <c r="P101" s="230"/>
      <c r="Q101" s="230"/>
      <c r="R101" s="230"/>
      <c r="S101" s="213">
        <f t="shared" si="65"/>
        <v>0</v>
      </c>
      <c r="T101" s="216"/>
      <c r="U101" s="207"/>
      <c r="V101" s="216"/>
      <c r="W101" s="216"/>
      <c r="X101" s="216"/>
      <c r="Y101" s="213">
        <f t="shared" si="66"/>
        <v>0</v>
      </c>
      <c r="Z101" s="222" t="s">
        <v>1097</v>
      </c>
      <c r="AA101" s="228"/>
      <c r="AB101" s="218"/>
      <c r="AC101" s="220"/>
      <c r="AD101" s="220" t="s">
        <v>1233</v>
      </c>
      <c r="AE101" s="220" t="str">
        <f t="shared" si="67"/>
        <v/>
      </c>
      <c r="AF101" s="229"/>
      <c r="AG101" s="220" t="str">
        <f t="shared" si="68"/>
        <v>2</v>
      </c>
      <c r="AH101" s="220" t="str">
        <f t="shared" si="69"/>
        <v>2</v>
      </c>
      <c r="AI101" s="220"/>
      <c r="AJ101" s="221" t="str">
        <f t="shared" si="70"/>
        <v>2</v>
      </c>
      <c r="AK101" s="220" t="str">
        <f t="shared" si="71"/>
        <v>2.2..2</v>
      </c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 ht="16.5" customHeight="1" outlineLevel="2">
      <c r="A102" s="207">
        <f t="shared" si="61"/>
        <v>93</v>
      </c>
      <c r="B102" s="207">
        <v>6</v>
      </c>
      <c r="C102" s="245" t="s">
        <v>1234</v>
      </c>
      <c r="D102" s="209">
        <v>5786.7880307676705</v>
      </c>
      <c r="E102" s="504" t="s">
        <v>104</v>
      </c>
      <c r="F102" s="213">
        <f t="shared" si="62"/>
        <v>43213.71</v>
      </c>
      <c r="G102" s="207"/>
      <c r="H102" s="223">
        <f t="shared" si="63"/>
        <v>2014</v>
      </c>
      <c r="I102" s="212" t="s">
        <v>285</v>
      </c>
      <c r="J102" s="213">
        <v>43213.71</v>
      </c>
      <c r="K102" s="213">
        <v>0</v>
      </c>
      <c r="L102" s="213">
        <v>43213.71</v>
      </c>
      <c r="M102" s="213">
        <f t="shared" si="64"/>
        <v>43213.71</v>
      </c>
      <c r="N102" s="207"/>
      <c r="O102" s="231"/>
      <c r="P102" s="230"/>
      <c r="Q102" s="230"/>
      <c r="R102" s="230"/>
      <c r="S102" s="213">
        <f t="shared" si="65"/>
        <v>0</v>
      </c>
      <c r="T102" s="216"/>
      <c r="U102" s="207"/>
      <c r="V102" s="216"/>
      <c r="W102" s="216"/>
      <c r="X102" s="216"/>
      <c r="Y102" s="213">
        <f t="shared" si="66"/>
        <v>0</v>
      </c>
      <c r="Z102" s="222">
        <v>2023</v>
      </c>
      <c r="AA102" s="228" t="s">
        <v>1090</v>
      </c>
      <c r="AB102" s="218"/>
      <c r="AC102" s="220"/>
      <c r="AD102" s="220" t="s">
        <v>1233</v>
      </c>
      <c r="AE102" s="220" t="str">
        <f t="shared" si="67"/>
        <v/>
      </c>
      <c r="AF102" s="229"/>
      <c r="AG102" s="220" t="str">
        <f t="shared" si="68"/>
        <v>2</v>
      </c>
      <c r="AH102" s="220" t="str">
        <f t="shared" si="69"/>
        <v>1</v>
      </c>
      <c r="AI102" s="220"/>
      <c r="AJ102" s="221" t="str">
        <f t="shared" si="70"/>
        <v>2</v>
      </c>
      <c r="AK102" s="220" t="str">
        <f t="shared" si="71"/>
        <v>2.1..2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 ht="16.5" customHeight="1" outlineLevel="2">
      <c r="A103" s="207">
        <f t="shared" si="61"/>
        <v>94</v>
      </c>
      <c r="B103" s="207">
        <v>7</v>
      </c>
      <c r="C103" s="245" t="s">
        <v>1235</v>
      </c>
      <c r="D103" s="209">
        <v>6370.92216481783</v>
      </c>
      <c r="E103" s="504" t="s">
        <v>104</v>
      </c>
      <c r="F103" s="213">
        <f t="shared" si="62"/>
        <v>28154.400000000001</v>
      </c>
      <c r="G103" s="207"/>
      <c r="H103" s="223">
        <f t="shared" si="63"/>
        <v>2014</v>
      </c>
      <c r="I103" s="212" t="s">
        <v>287</v>
      </c>
      <c r="J103" s="213">
        <v>28154.400000000001</v>
      </c>
      <c r="K103" s="213">
        <v>0</v>
      </c>
      <c r="L103" s="213">
        <v>28154.400000000001</v>
      </c>
      <c r="M103" s="213">
        <f t="shared" si="64"/>
        <v>28154.400000000001</v>
      </c>
      <c r="N103" s="207"/>
      <c r="O103" s="231"/>
      <c r="P103" s="230"/>
      <c r="Q103" s="230"/>
      <c r="R103" s="230"/>
      <c r="S103" s="213">
        <f t="shared" si="65"/>
        <v>0</v>
      </c>
      <c r="T103" s="216"/>
      <c r="U103" s="207"/>
      <c r="V103" s="216"/>
      <c r="W103" s="216"/>
      <c r="X103" s="216"/>
      <c r="Y103" s="213">
        <f t="shared" si="66"/>
        <v>0</v>
      </c>
      <c r="Z103" s="222" t="s">
        <v>1129</v>
      </c>
      <c r="AA103" s="228" t="s">
        <v>1090</v>
      </c>
      <c r="AB103" s="218"/>
      <c r="AC103" s="220"/>
      <c r="AD103" s="220"/>
      <c r="AE103" s="220" t="str">
        <f t="shared" si="67"/>
        <v/>
      </c>
      <c r="AF103" s="229"/>
      <c r="AG103" s="220" t="str">
        <f t="shared" si="68"/>
        <v>2</v>
      </c>
      <c r="AH103" s="220" t="str">
        <f t="shared" si="69"/>
        <v>1</v>
      </c>
      <c r="AI103" s="220"/>
      <c r="AJ103" s="221" t="str">
        <f t="shared" si="70"/>
        <v>2</v>
      </c>
      <c r="AK103" s="220" t="str">
        <f t="shared" si="71"/>
        <v>2.1..2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 ht="16.5" customHeight="1" outlineLevel="2">
      <c r="A104" s="207">
        <f t="shared" si="61"/>
        <v>95</v>
      </c>
      <c r="B104" s="207">
        <v>8</v>
      </c>
      <c r="C104" s="245" t="s">
        <v>1236</v>
      </c>
      <c r="D104" s="209">
        <v>3835.2564298252005</v>
      </c>
      <c r="E104" s="504" t="s">
        <v>104</v>
      </c>
      <c r="F104" s="213">
        <f t="shared" si="62"/>
        <v>48145</v>
      </c>
      <c r="G104" s="207"/>
      <c r="H104" s="223">
        <f t="shared" si="63"/>
        <v>2014</v>
      </c>
      <c r="I104" s="212" t="s">
        <v>1225</v>
      </c>
      <c r="J104" s="213">
        <v>48145</v>
      </c>
      <c r="K104" s="213">
        <v>0</v>
      </c>
      <c r="L104" s="213">
        <v>48145</v>
      </c>
      <c r="M104" s="213">
        <f t="shared" si="64"/>
        <v>48145</v>
      </c>
      <c r="N104" s="207"/>
      <c r="O104" s="231" t="s">
        <v>289</v>
      </c>
      <c r="P104" s="230">
        <v>5003.8599999999997</v>
      </c>
      <c r="Q104" s="230">
        <v>0</v>
      </c>
      <c r="R104" s="230">
        <v>0</v>
      </c>
      <c r="S104" s="213">
        <f t="shared" si="65"/>
        <v>5003.8599999999997</v>
      </c>
      <c r="T104" s="216"/>
      <c r="U104" s="207"/>
      <c r="V104" s="216"/>
      <c r="W104" s="216"/>
      <c r="X104" s="216"/>
      <c r="Y104" s="213">
        <f t="shared" si="66"/>
        <v>0</v>
      </c>
      <c r="Z104" s="222" t="s">
        <v>1097</v>
      </c>
      <c r="AA104" s="228"/>
      <c r="AB104" s="218"/>
      <c r="AC104" s="220"/>
      <c r="AD104" s="220"/>
      <c r="AE104" s="220" t="str">
        <f t="shared" si="67"/>
        <v/>
      </c>
      <c r="AF104" s="229"/>
      <c r="AG104" s="220" t="str">
        <f t="shared" si="68"/>
        <v>2</v>
      </c>
      <c r="AH104" s="220" t="str">
        <f t="shared" si="69"/>
        <v>1</v>
      </c>
      <c r="AI104" s="220"/>
      <c r="AJ104" s="221" t="str">
        <f t="shared" si="70"/>
        <v>1</v>
      </c>
      <c r="AK104" s="220" t="str">
        <f t="shared" si="71"/>
        <v>2.1..1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 ht="16.5" customHeight="1" outlineLevel="2">
      <c r="A105" s="207">
        <f t="shared" si="61"/>
        <v>96</v>
      </c>
      <c r="B105" s="207">
        <v>9</v>
      </c>
      <c r="C105" s="245" t="s">
        <v>1237</v>
      </c>
      <c r="D105" s="209">
        <v>7818.8543339398757</v>
      </c>
      <c r="E105" s="504" t="s">
        <v>104</v>
      </c>
      <c r="F105" s="213">
        <f t="shared" si="62"/>
        <v>54879</v>
      </c>
      <c r="G105" s="207"/>
      <c r="H105" s="223">
        <f t="shared" si="63"/>
        <v>2013</v>
      </c>
      <c r="I105" s="212" t="s">
        <v>143</v>
      </c>
      <c r="J105" s="213">
        <v>54879</v>
      </c>
      <c r="K105" s="213">
        <v>0</v>
      </c>
      <c r="L105" s="213">
        <v>54879</v>
      </c>
      <c r="M105" s="213">
        <f t="shared" si="64"/>
        <v>54879</v>
      </c>
      <c r="N105" s="207"/>
      <c r="O105" s="231" t="s">
        <v>1238</v>
      </c>
      <c r="P105" s="230">
        <v>54879</v>
      </c>
      <c r="Q105" s="230">
        <v>10000</v>
      </c>
      <c r="R105" s="230"/>
      <c r="S105" s="213">
        <f t="shared" si="65"/>
        <v>54879</v>
      </c>
      <c r="T105" s="216"/>
      <c r="U105" s="207"/>
      <c r="V105" s="216"/>
      <c r="W105" s="216"/>
      <c r="X105" s="216"/>
      <c r="Y105" s="213">
        <f t="shared" si="66"/>
        <v>0</v>
      </c>
      <c r="Z105" s="222">
        <v>2023</v>
      </c>
      <c r="AA105" s="228" t="s">
        <v>1090</v>
      </c>
      <c r="AB105" s="218"/>
      <c r="AC105" s="220"/>
      <c r="AD105" s="220" t="s">
        <v>1239</v>
      </c>
      <c r="AE105" s="220" t="str">
        <f t="shared" si="67"/>
        <v/>
      </c>
      <c r="AF105" s="229"/>
      <c r="AG105" s="220" t="str">
        <f t="shared" si="68"/>
        <v>2</v>
      </c>
      <c r="AH105" s="220" t="str">
        <f t="shared" si="69"/>
        <v>1</v>
      </c>
      <c r="AI105" s="220"/>
      <c r="AJ105" s="221" t="str">
        <f t="shared" si="70"/>
        <v>1</v>
      </c>
      <c r="AK105" s="220" t="str">
        <f t="shared" si="71"/>
        <v>2.1..1</v>
      </c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 ht="16.5" customHeight="1" outlineLevel="2">
      <c r="A106" s="207">
        <f t="shared" si="61"/>
        <v>97</v>
      </c>
      <c r="B106" s="207">
        <v>10</v>
      </c>
      <c r="C106" s="245" t="s">
        <v>1240</v>
      </c>
      <c r="D106" s="209">
        <v>10523.333537295153</v>
      </c>
      <c r="E106" s="504" t="s">
        <v>104</v>
      </c>
      <c r="F106" s="213">
        <f t="shared" si="62"/>
        <v>17000</v>
      </c>
      <c r="G106" s="207"/>
      <c r="H106" s="223">
        <f t="shared" si="63"/>
        <v>2020</v>
      </c>
      <c r="I106" s="212" t="s">
        <v>293</v>
      </c>
      <c r="J106" s="213">
        <v>17000</v>
      </c>
      <c r="K106" s="213">
        <v>0</v>
      </c>
      <c r="L106" s="213">
        <v>17000</v>
      </c>
      <c r="M106" s="213">
        <f t="shared" si="64"/>
        <v>17000</v>
      </c>
      <c r="N106" s="207"/>
      <c r="O106" s="231" t="s">
        <v>1241</v>
      </c>
      <c r="P106" s="230">
        <v>17000</v>
      </c>
      <c r="Q106" s="230">
        <v>0</v>
      </c>
      <c r="R106" s="230">
        <v>17000</v>
      </c>
      <c r="S106" s="213">
        <f t="shared" si="65"/>
        <v>17000</v>
      </c>
      <c r="T106" s="216"/>
      <c r="U106" s="207"/>
      <c r="V106" s="216"/>
      <c r="W106" s="216"/>
      <c r="X106" s="216"/>
      <c r="Y106" s="213">
        <f t="shared" si="66"/>
        <v>0</v>
      </c>
      <c r="Z106" s="222">
        <v>2023</v>
      </c>
      <c r="AA106" s="228" t="s">
        <v>1090</v>
      </c>
      <c r="AB106" s="218"/>
      <c r="AC106" s="220" t="s">
        <v>1098</v>
      </c>
      <c r="AD106" s="220" t="s">
        <v>1242</v>
      </c>
      <c r="AE106" s="220" t="str">
        <f t="shared" si="67"/>
        <v/>
      </c>
      <c r="AF106" s="229"/>
      <c r="AG106" s="220" t="str">
        <f t="shared" si="68"/>
        <v>1</v>
      </c>
      <c r="AH106" s="220" t="str">
        <f t="shared" si="69"/>
        <v>1</v>
      </c>
      <c r="AI106" s="220"/>
      <c r="AJ106" s="221" t="str">
        <f t="shared" si="70"/>
        <v>1</v>
      </c>
      <c r="AK106" s="220" t="str">
        <f t="shared" si="71"/>
        <v>1.1..1</v>
      </c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 ht="16.5" customHeight="1" outlineLevel="2">
      <c r="A107" s="207">
        <f t="shared" si="61"/>
        <v>98</v>
      </c>
      <c r="B107" s="207">
        <v>11</v>
      </c>
      <c r="C107" s="245" t="s">
        <v>1243</v>
      </c>
      <c r="D107" s="209">
        <v>4939.4830959302863</v>
      </c>
      <c r="E107" s="504" t="s">
        <v>104</v>
      </c>
      <c r="F107" s="213">
        <f t="shared" si="62"/>
        <v>36162</v>
      </c>
      <c r="G107" s="207"/>
      <c r="H107" s="223">
        <f t="shared" si="63"/>
        <v>2013</v>
      </c>
      <c r="I107" s="212" t="s">
        <v>1244</v>
      </c>
      <c r="J107" s="213">
        <v>36162</v>
      </c>
      <c r="K107" s="213">
        <v>0</v>
      </c>
      <c r="L107" s="213">
        <v>36162</v>
      </c>
      <c r="M107" s="213">
        <f t="shared" si="64"/>
        <v>36162</v>
      </c>
      <c r="N107" s="207"/>
      <c r="O107" s="231" t="s">
        <v>1245</v>
      </c>
      <c r="P107" s="621" t="s">
        <v>1246</v>
      </c>
      <c r="Q107" s="564"/>
      <c r="R107" s="559"/>
      <c r="S107" s="213"/>
      <c r="T107" s="216"/>
      <c r="U107" s="207"/>
      <c r="V107" s="216"/>
      <c r="W107" s="216"/>
      <c r="X107" s="216"/>
      <c r="Y107" s="213"/>
      <c r="Z107" s="222" t="s">
        <v>1129</v>
      </c>
      <c r="AA107" s="228" t="s">
        <v>1090</v>
      </c>
      <c r="AB107" s="218"/>
      <c r="AC107" s="220"/>
      <c r="AD107" s="220"/>
      <c r="AE107" s="220" t="str">
        <f t="shared" si="67"/>
        <v/>
      </c>
      <c r="AF107" s="229"/>
      <c r="AG107" s="220" t="str">
        <f t="shared" si="68"/>
        <v>2</v>
      </c>
      <c r="AH107" s="220" t="str">
        <f t="shared" si="69"/>
        <v>1</v>
      </c>
      <c r="AI107" s="220"/>
      <c r="AJ107" s="221" t="str">
        <f t="shared" si="70"/>
        <v>2</v>
      </c>
      <c r="AK107" s="220" t="str">
        <f t="shared" si="71"/>
        <v>2.1..2</v>
      </c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 ht="16.5" customHeight="1" outlineLevel="1">
      <c r="A108" s="207"/>
      <c r="B108" s="235"/>
      <c r="C108" s="249" t="s">
        <v>1247</v>
      </c>
      <c r="D108" s="250">
        <f>SUM(D97:D107)</f>
        <v>68349.342412178477</v>
      </c>
      <c r="E108" s="238">
        <f>COUNTIF(E97:E107,"D") + COUNTIF(E97:E107,"DS")</f>
        <v>9</v>
      </c>
      <c r="F108" s="254">
        <f>SUBTOTAL(9,F97:F107)</f>
        <v>274534.11</v>
      </c>
      <c r="G108" s="201">
        <f>COUNTIF(G97:G107,$G$95)</f>
        <v>0</v>
      </c>
      <c r="H108" s="240"/>
      <c r="I108" s="264"/>
      <c r="J108" s="254">
        <f t="shared" ref="J108:M108" si="72">SUBTOTAL(9,J97:J107)</f>
        <v>269246.11</v>
      </c>
      <c r="K108" s="254">
        <f t="shared" si="72"/>
        <v>0</v>
      </c>
      <c r="L108" s="254">
        <f t="shared" si="72"/>
        <v>269246.11</v>
      </c>
      <c r="M108" s="254">
        <f t="shared" si="72"/>
        <v>269246.11</v>
      </c>
      <c r="N108" s="201">
        <f>COUNTIF(N97:N107,$G$95)</f>
        <v>0</v>
      </c>
      <c r="O108" s="236"/>
      <c r="P108" s="255">
        <f t="shared" ref="P108:R108" si="73">P97+P98+P99+P100+P101+P102+P103+P104+P105+P106</f>
        <v>94764.32</v>
      </c>
      <c r="Q108" s="255">
        <f t="shared" si="73"/>
        <v>10000</v>
      </c>
      <c r="R108" s="255">
        <f t="shared" si="73"/>
        <v>34881.46</v>
      </c>
      <c r="S108" s="254">
        <f>SUBTOTAL(9,S97:S107)</f>
        <v>94764.32</v>
      </c>
      <c r="T108" s="201">
        <f>COUNTIF(T97:T107,$G$95)</f>
        <v>1</v>
      </c>
      <c r="U108" s="201">
        <v>1</v>
      </c>
      <c r="V108" s="203">
        <v>45173.32</v>
      </c>
      <c r="W108" s="203">
        <v>0</v>
      </c>
      <c r="X108" s="203">
        <v>34881.46</v>
      </c>
      <c r="Y108" s="254">
        <f>SUBTOTAL(9,Y97:Y107)</f>
        <v>5288</v>
      </c>
      <c r="Z108" s="243" t="s">
        <v>1138</v>
      </c>
      <c r="AA108" s="228"/>
      <c r="AB108" s="218"/>
      <c r="AC108" s="220"/>
      <c r="AD108" s="220"/>
      <c r="AE108" s="244">
        <f>COUNTIF(AE97:AE107,"V") + COUNTIF(AE97:AE107,"VV") + COUNTIF(AE97:AE107,"VVV")</f>
        <v>1</v>
      </c>
      <c r="AF108" s="229"/>
      <c r="AG108" s="220"/>
      <c r="AH108" s="220"/>
      <c r="AI108" s="220"/>
      <c r="AJ108" s="221"/>
      <c r="AK108" s="220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 ht="16.5" customHeight="1" outlineLevel="2">
      <c r="A109" s="207">
        <f t="shared" ref="A109:A125" si="74">SUBTOTAL(3,$B$6:B109)</f>
        <v>99</v>
      </c>
      <c r="B109" s="207">
        <v>1</v>
      </c>
      <c r="C109" s="245" t="s">
        <v>1248</v>
      </c>
      <c r="D109" s="209">
        <v>174370.85888540975</v>
      </c>
      <c r="E109" s="504" t="s">
        <v>91</v>
      </c>
      <c r="F109" s="213">
        <f t="shared" ref="F109:F125" si="75">IF(M109&gt;0,M109,IF(S109&gt;0,S109,IF(Y109&gt;0,Y109,0)))</f>
        <v>104973</v>
      </c>
      <c r="G109" s="207" t="s">
        <v>1076</v>
      </c>
      <c r="H109" s="223">
        <f t="shared" ref="H109:H125" si="76">VALUE(RIGHT(I109,4))</f>
        <v>2019</v>
      </c>
      <c r="I109" s="248" t="s">
        <v>311</v>
      </c>
      <c r="J109" s="246">
        <v>104973</v>
      </c>
      <c r="K109" s="246">
        <v>0</v>
      </c>
      <c r="L109" s="246">
        <v>104973</v>
      </c>
      <c r="M109" s="213">
        <f t="shared" ref="M109:M125" si="77">IF(L109&gt;0,L109,IF(J109&gt;0,J109,0))</f>
        <v>104973</v>
      </c>
      <c r="N109" s="207"/>
      <c r="O109" s="231" t="s">
        <v>1249</v>
      </c>
      <c r="P109" s="230">
        <v>232873.4</v>
      </c>
      <c r="Q109" s="230">
        <v>0</v>
      </c>
      <c r="R109" s="230">
        <v>232873.4</v>
      </c>
      <c r="S109" s="213">
        <f t="shared" ref="S109:S125" si="78">IF(R109&gt;0,R109,IF(P109&gt;0,P109,0))</f>
        <v>232873.4</v>
      </c>
      <c r="T109" s="216"/>
      <c r="U109" s="207" t="s">
        <v>1250</v>
      </c>
      <c r="V109" s="216">
        <v>232873.4</v>
      </c>
      <c r="W109" s="216">
        <v>0</v>
      </c>
      <c r="X109" s="216">
        <v>232873.4</v>
      </c>
      <c r="Y109" s="213">
        <f t="shared" ref="Y109:Y125" si="79">IF(X109&gt;0,X109,IF(V109&gt;0,V109,0))</f>
        <v>232873.4</v>
      </c>
      <c r="Z109" s="222">
        <v>2020</v>
      </c>
      <c r="AA109" s="228"/>
      <c r="AB109" s="218"/>
      <c r="AC109" s="220"/>
      <c r="AD109" s="220"/>
      <c r="AE109" s="220" t="str">
        <f t="shared" ref="AE109:AE125" si="80">CONCATENATE(G109,N109,T109)</f>
        <v>V</v>
      </c>
      <c r="AF109" s="229"/>
      <c r="AG109" s="220" t="str">
        <f t="shared" ref="AG109:AG124" si="81">IF(H109="","3",IF(H109&lt;=2018,"2","1"))</f>
        <v>1</v>
      </c>
      <c r="AH109" s="220" t="str">
        <f t="shared" ref="AH109:AH125" si="82">IF(M109&gt;0,"1","2")</f>
        <v>1</v>
      </c>
      <c r="AI109" s="220"/>
      <c r="AJ109" s="221" t="str">
        <f t="shared" ref="AJ109:AJ125" si="83">IF(S109&gt;0,"1",IF(Y109&gt;0,"1","2"))</f>
        <v>1</v>
      </c>
      <c r="AK109" s="220" t="str">
        <f t="shared" ref="AK109:AK125" si="84">CONCATENATE(AG109,".",AH109,".",AI109,".",AJ109)</f>
        <v>1.1..1</v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 ht="16.5" customHeight="1" outlineLevel="2">
      <c r="A110" s="207">
        <f t="shared" si="74"/>
        <v>100</v>
      </c>
      <c r="B110" s="207">
        <v>2</v>
      </c>
      <c r="C110" s="245" t="s">
        <v>1251</v>
      </c>
      <c r="D110" s="209">
        <v>9339.6819357032382</v>
      </c>
      <c r="E110" s="504" t="s">
        <v>91</v>
      </c>
      <c r="F110" s="213">
        <f t="shared" si="75"/>
        <v>13913</v>
      </c>
      <c r="G110" s="207"/>
      <c r="H110" s="223">
        <f t="shared" si="76"/>
        <v>2012</v>
      </c>
      <c r="I110" s="248" t="s">
        <v>546</v>
      </c>
      <c r="J110" s="246"/>
      <c r="K110" s="246"/>
      <c r="L110" s="246"/>
      <c r="M110" s="213">
        <f t="shared" si="77"/>
        <v>0</v>
      </c>
      <c r="N110" s="207" t="s">
        <v>1076</v>
      </c>
      <c r="O110" s="231" t="s">
        <v>712</v>
      </c>
      <c r="P110" s="230">
        <v>13913</v>
      </c>
      <c r="Q110" s="230"/>
      <c r="R110" s="230"/>
      <c r="S110" s="213">
        <f t="shared" si="78"/>
        <v>13913</v>
      </c>
      <c r="T110" s="216"/>
      <c r="U110" s="207"/>
      <c r="V110" s="216"/>
      <c r="W110" s="216"/>
      <c r="X110" s="216"/>
      <c r="Y110" s="213">
        <f t="shared" si="79"/>
        <v>0</v>
      </c>
      <c r="Z110" s="222" t="s">
        <v>1097</v>
      </c>
      <c r="AA110" s="228"/>
      <c r="AB110" s="218"/>
      <c r="AC110" s="220"/>
      <c r="AD110" s="220"/>
      <c r="AE110" s="220" t="str">
        <f t="shared" si="80"/>
        <v>V</v>
      </c>
      <c r="AF110" s="229"/>
      <c r="AG110" s="220" t="str">
        <f t="shared" si="81"/>
        <v>2</v>
      </c>
      <c r="AH110" s="220" t="str">
        <f t="shared" si="82"/>
        <v>2</v>
      </c>
      <c r="AI110" s="220"/>
      <c r="AJ110" s="221" t="str">
        <f t="shared" si="83"/>
        <v>1</v>
      </c>
      <c r="AK110" s="220" t="str">
        <f t="shared" si="84"/>
        <v>2.2..1</v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 ht="16.5" customHeight="1" outlineLevel="2">
      <c r="A111" s="207">
        <f t="shared" si="74"/>
        <v>101</v>
      </c>
      <c r="B111" s="207">
        <v>3</v>
      </c>
      <c r="C111" s="245" t="s">
        <v>1252</v>
      </c>
      <c r="D111" s="209">
        <v>1086.7443211401055</v>
      </c>
      <c r="E111" s="504" t="s">
        <v>104</v>
      </c>
      <c r="F111" s="213">
        <f t="shared" si="75"/>
        <v>2128</v>
      </c>
      <c r="G111" s="207"/>
      <c r="H111" s="223">
        <f t="shared" si="76"/>
        <v>2012</v>
      </c>
      <c r="I111" s="212" t="s">
        <v>315</v>
      </c>
      <c r="J111" s="213">
        <v>2128</v>
      </c>
      <c r="K111" s="213">
        <v>0</v>
      </c>
      <c r="L111" s="213">
        <v>2128</v>
      </c>
      <c r="M111" s="213">
        <f t="shared" si="77"/>
        <v>2128</v>
      </c>
      <c r="N111" s="207"/>
      <c r="O111" s="231" t="s">
        <v>712</v>
      </c>
      <c r="P111" s="230">
        <v>857.19</v>
      </c>
      <c r="Q111" s="230"/>
      <c r="R111" s="230"/>
      <c r="S111" s="213">
        <f t="shared" si="78"/>
        <v>857.19</v>
      </c>
      <c r="T111" s="216"/>
      <c r="U111" s="207"/>
      <c r="V111" s="216"/>
      <c r="W111" s="216"/>
      <c r="X111" s="216"/>
      <c r="Y111" s="213">
        <f t="shared" si="79"/>
        <v>0</v>
      </c>
      <c r="Z111" s="222" t="s">
        <v>1097</v>
      </c>
      <c r="AA111" s="228"/>
      <c r="AB111" s="218"/>
      <c r="AC111" s="220"/>
      <c r="AD111" s="220"/>
      <c r="AE111" s="220" t="str">
        <f t="shared" si="80"/>
        <v/>
      </c>
      <c r="AF111" s="229"/>
      <c r="AG111" s="220" t="str">
        <f t="shared" si="81"/>
        <v>2</v>
      </c>
      <c r="AH111" s="220" t="str">
        <f t="shared" si="82"/>
        <v>1</v>
      </c>
      <c r="AI111" s="220"/>
      <c r="AJ111" s="221" t="str">
        <f t="shared" si="83"/>
        <v>1</v>
      </c>
      <c r="AK111" s="220" t="str">
        <f t="shared" si="84"/>
        <v>2.1..1</v>
      </c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 ht="16.5" customHeight="1" outlineLevel="2">
      <c r="A112" s="207">
        <f t="shared" si="74"/>
        <v>102</v>
      </c>
      <c r="B112" s="207">
        <v>4</v>
      </c>
      <c r="C112" s="245" t="s">
        <v>1253</v>
      </c>
      <c r="D112" s="209">
        <v>2946.5212062378823</v>
      </c>
      <c r="E112" s="504" t="s">
        <v>104</v>
      </c>
      <c r="F112" s="213">
        <f t="shared" si="75"/>
        <v>1392.66</v>
      </c>
      <c r="G112" s="207"/>
      <c r="H112" s="223">
        <f t="shared" si="76"/>
        <v>2012</v>
      </c>
      <c r="I112" s="212" t="s">
        <v>1201</v>
      </c>
      <c r="J112" s="213"/>
      <c r="K112" s="213"/>
      <c r="L112" s="213"/>
      <c r="M112" s="213">
        <f t="shared" si="77"/>
        <v>0</v>
      </c>
      <c r="N112" s="207"/>
      <c r="O112" s="231" t="s">
        <v>1254</v>
      </c>
      <c r="P112" s="230">
        <v>1392.66</v>
      </c>
      <c r="Q112" s="230">
        <v>0</v>
      </c>
      <c r="R112" s="230">
        <v>0</v>
      </c>
      <c r="S112" s="213">
        <f t="shared" si="78"/>
        <v>1392.66</v>
      </c>
      <c r="T112" s="216"/>
      <c r="U112" s="207"/>
      <c r="V112" s="216">
        <v>1392.66</v>
      </c>
      <c r="W112" s="216">
        <v>0</v>
      </c>
      <c r="X112" s="216">
        <v>0</v>
      </c>
      <c r="Y112" s="213">
        <f t="shared" si="79"/>
        <v>1392.66</v>
      </c>
      <c r="Z112" s="222" t="s">
        <v>1097</v>
      </c>
      <c r="AA112" s="228"/>
      <c r="AB112" s="218"/>
      <c r="AC112" s="220"/>
      <c r="AD112" s="220"/>
      <c r="AE112" s="220" t="str">
        <f t="shared" si="80"/>
        <v/>
      </c>
      <c r="AF112" s="229"/>
      <c r="AG112" s="220" t="str">
        <f t="shared" si="81"/>
        <v>2</v>
      </c>
      <c r="AH112" s="220" t="str">
        <f t="shared" si="82"/>
        <v>2</v>
      </c>
      <c r="AI112" s="220"/>
      <c r="AJ112" s="221" t="str">
        <f t="shared" si="83"/>
        <v>1</v>
      </c>
      <c r="AK112" s="220" t="str">
        <f t="shared" si="84"/>
        <v>2.2..1</v>
      </c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 ht="16.5" customHeight="1" outlineLevel="2">
      <c r="A113" s="207">
        <f t="shared" si="74"/>
        <v>103</v>
      </c>
      <c r="B113" s="207">
        <v>5</v>
      </c>
      <c r="C113" s="245" t="s">
        <v>1255</v>
      </c>
      <c r="D113" s="209">
        <v>3409.1530559464659</v>
      </c>
      <c r="E113" s="504" t="s">
        <v>123</v>
      </c>
      <c r="F113" s="213">
        <f t="shared" si="75"/>
        <v>0</v>
      </c>
      <c r="G113" s="207"/>
      <c r="H113" s="223">
        <f t="shared" si="76"/>
        <v>2012</v>
      </c>
      <c r="I113" s="212" t="s">
        <v>1256</v>
      </c>
      <c r="J113" s="213"/>
      <c r="K113" s="213"/>
      <c r="L113" s="213"/>
      <c r="M113" s="213">
        <f t="shared" si="77"/>
        <v>0</v>
      </c>
      <c r="N113" s="207"/>
      <c r="O113" s="231"/>
      <c r="P113" s="230"/>
      <c r="Q113" s="230"/>
      <c r="R113" s="230"/>
      <c r="S113" s="213">
        <f t="shared" si="78"/>
        <v>0</v>
      </c>
      <c r="T113" s="216"/>
      <c r="U113" s="207"/>
      <c r="V113" s="216"/>
      <c r="W113" s="216"/>
      <c r="X113" s="216"/>
      <c r="Y113" s="213">
        <f t="shared" si="79"/>
        <v>0</v>
      </c>
      <c r="Z113" s="222" t="s">
        <v>1097</v>
      </c>
      <c r="AA113" s="228"/>
      <c r="AB113" s="218"/>
      <c r="AC113" s="220"/>
      <c r="AD113" s="220"/>
      <c r="AE113" s="220" t="str">
        <f t="shared" si="80"/>
        <v/>
      </c>
      <c r="AF113" s="229"/>
      <c r="AG113" s="220" t="str">
        <f t="shared" si="81"/>
        <v>2</v>
      </c>
      <c r="AH113" s="220" t="str">
        <f t="shared" si="82"/>
        <v>2</v>
      </c>
      <c r="AI113" s="220"/>
      <c r="AJ113" s="221" t="str">
        <f t="shared" si="83"/>
        <v>2</v>
      </c>
      <c r="AK113" s="220" t="str">
        <f t="shared" si="84"/>
        <v>2.2..2</v>
      </c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 ht="16.5" customHeight="1" outlineLevel="2">
      <c r="A114" s="207">
        <f t="shared" si="74"/>
        <v>104</v>
      </c>
      <c r="B114" s="207">
        <v>6</v>
      </c>
      <c r="C114" s="245" t="s">
        <v>1257</v>
      </c>
      <c r="D114" s="209">
        <v>279.89333962433841</v>
      </c>
      <c r="E114" s="504" t="s">
        <v>123</v>
      </c>
      <c r="F114" s="213">
        <f t="shared" si="75"/>
        <v>0</v>
      </c>
      <c r="G114" s="207"/>
      <c r="H114" s="223">
        <f t="shared" si="76"/>
        <v>2014</v>
      </c>
      <c r="I114" s="212" t="s">
        <v>321</v>
      </c>
      <c r="J114" s="213"/>
      <c r="K114" s="213"/>
      <c r="L114" s="213"/>
      <c r="M114" s="213">
        <f t="shared" si="77"/>
        <v>0</v>
      </c>
      <c r="N114" s="207"/>
      <c r="O114" s="231"/>
      <c r="P114" s="230"/>
      <c r="Q114" s="230"/>
      <c r="R114" s="230"/>
      <c r="S114" s="213">
        <f t="shared" si="78"/>
        <v>0</v>
      </c>
      <c r="T114" s="216"/>
      <c r="U114" s="207"/>
      <c r="V114" s="216"/>
      <c r="W114" s="216"/>
      <c r="X114" s="216"/>
      <c r="Y114" s="213">
        <f t="shared" si="79"/>
        <v>0</v>
      </c>
      <c r="Z114" s="222" t="s">
        <v>1097</v>
      </c>
      <c r="AA114" s="228"/>
      <c r="AB114" s="218"/>
      <c r="AC114" s="220"/>
      <c r="AD114" s="220"/>
      <c r="AE114" s="220" t="str">
        <f t="shared" si="80"/>
        <v/>
      </c>
      <c r="AF114" s="229"/>
      <c r="AG114" s="220" t="str">
        <f t="shared" si="81"/>
        <v>2</v>
      </c>
      <c r="AH114" s="220" t="str">
        <f t="shared" si="82"/>
        <v>2</v>
      </c>
      <c r="AI114" s="220"/>
      <c r="AJ114" s="221" t="str">
        <f t="shared" si="83"/>
        <v>2</v>
      </c>
      <c r="AK114" s="220" t="str">
        <f t="shared" si="84"/>
        <v>2.2..2</v>
      </c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 ht="16.5" customHeight="1" outlineLevel="2">
      <c r="A115" s="207">
        <f t="shared" si="74"/>
        <v>105</v>
      </c>
      <c r="B115" s="207">
        <v>7</v>
      </c>
      <c r="C115" s="245" t="s">
        <v>1258</v>
      </c>
      <c r="D115" s="209">
        <v>12521.069683857606</v>
      </c>
      <c r="E115" s="504" t="s">
        <v>123</v>
      </c>
      <c r="F115" s="213">
        <f t="shared" si="75"/>
        <v>0</v>
      </c>
      <c r="G115" s="207"/>
      <c r="H115" s="223">
        <f t="shared" si="76"/>
        <v>2012</v>
      </c>
      <c r="I115" s="212" t="s">
        <v>323</v>
      </c>
      <c r="J115" s="213"/>
      <c r="K115" s="213"/>
      <c r="L115" s="213"/>
      <c r="M115" s="213">
        <f t="shared" si="77"/>
        <v>0</v>
      </c>
      <c r="N115" s="207"/>
      <c r="O115" s="231"/>
      <c r="P115" s="230"/>
      <c r="Q115" s="230"/>
      <c r="R115" s="230"/>
      <c r="S115" s="213">
        <f t="shared" si="78"/>
        <v>0</v>
      </c>
      <c r="T115" s="216"/>
      <c r="U115" s="207"/>
      <c r="V115" s="216"/>
      <c r="W115" s="216"/>
      <c r="X115" s="216"/>
      <c r="Y115" s="213">
        <f t="shared" si="79"/>
        <v>0</v>
      </c>
      <c r="Z115" s="222" t="s">
        <v>1097</v>
      </c>
      <c r="AA115" s="228"/>
      <c r="AB115" s="218"/>
      <c r="AC115" s="220"/>
      <c r="AD115" s="220"/>
      <c r="AE115" s="220" t="str">
        <f t="shared" si="80"/>
        <v/>
      </c>
      <c r="AF115" s="229"/>
      <c r="AG115" s="220" t="str">
        <f t="shared" si="81"/>
        <v>2</v>
      </c>
      <c r="AH115" s="220" t="str">
        <f t="shared" si="82"/>
        <v>2</v>
      </c>
      <c r="AI115" s="220"/>
      <c r="AJ115" s="221" t="str">
        <f t="shared" si="83"/>
        <v>2</v>
      </c>
      <c r="AK115" s="220" t="str">
        <f t="shared" si="84"/>
        <v>2.2..2</v>
      </c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 ht="16.5" customHeight="1" outlineLevel="2">
      <c r="A116" s="207">
        <f t="shared" si="74"/>
        <v>106</v>
      </c>
      <c r="B116" s="207">
        <v>8</v>
      </c>
      <c r="C116" s="245" t="s">
        <v>1259</v>
      </c>
      <c r="D116" s="209">
        <v>13905.82343508222</v>
      </c>
      <c r="E116" s="504" t="s">
        <v>91</v>
      </c>
      <c r="F116" s="213">
        <f t="shared" si="75"/>
        <v>19632.400000000001</v>
      </c>
      <c r="G116" s="207" t="s">
        <v>1076</v>
      </c>
      <c r="H116" s="223">
        <f t="shared" si="76"/>
        <v>2018</v>
      </c>
      <c r="I116" s="248" t="s">
        <v>1260</v>
      </c>
      <c r="J116" s="246">
        <v>19632.400000000001</v>
      </c>
      <c r="K116" s="246">
        <v>0</v>
      </c>
      <c r="L116" s="246">
        <v>19632.400000000001</v>
      </c>
      <c r="M116" s="213">
        <f t="shared" si="77"/>
        <v>19632.400000000001</v>
      </c>
      <c r="N116" s="207" t="s">
        <v>1076</v>
      </c>
      <c r="O116" s="231" t="s">
        <v>868</v>
      </c>
      <c r="P116" s="230">
        <v>19632.400000000001</v>
      </c>
      <c r="Q116" s="230">
        <v>0</v>
      </c>
      <c r="R116" s="230">
        <v>19632.400000000001</v>
      </c>
      <c r="S116" s="213">
        <f t="shared" si="78"/>
        <v>19632.400000000001</v>
      </c>
      <c r="T116" s="216" t="s">
        <v>1076</v>
      </c>
      <c r="U116" s="207" t="s">
        <v>325</v>
      </c>
      <c r="V116" s="216">
        <v>19632.400000000001</v>
      </c>
      <c r="W116" s="216">
        <v>0</v>
      </c>
      <c r="X116" s="216">
        <v>19632.400000000001</v>
      </c>
      <c r="Y116" s="213">
        <f t="shared" si="79"/>
        <v>19632.400000000001</v>
      </c>
      <c r="Z116" s="222">
        <v>2020</v>
      </c>
      <c r="AA116" s="228"/>
      <c r="AB116" s="218"/>
      <c r="AC116" s="220"/>
      <c r="AD116" s="220"/>
      <c r="AE116" s="220" t="str">
        <f t="shared" si="80"/>
        <v>VVV</v>
      </c>
      <c r="AF116" s="229"/>
      <c r="AG116" s="220" t="str">
        <f t="shared" si="81"/>
        <v>2</v>
      </c>
      <c r="AH116" s="220" t="str">
        <f t="shared" si="82"/>
        <v>1</v>
      </c>
      <c r="AI116" s="220"/>
      <c r="AJ116" s="221" t="str">
        <f t="shared" si="83"/>
        <v>1</v>
      </c>
      <c r="AK116" s="220" t="str">
        <f t="shared" si="84"/>
        <v>2.1..1</v>
      </c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 ht="16.5" customHeight="1" outlineLevel="2">
      <c r="A117" s="207">
        <f t="shared" si="74"/>
        <v>107</v>
      </c>
      <c r="B117" s="207">
        <v>9</v>
      </c>
      <c r="C117" s="245" t="s">
        <v>1261</v>
      </c>
      <c r="D117" s="209">
        <v>34646.422833234414</v>
      </c>
      <c r="E117" s="504" t="s">
        <v>91</v>
      </c>
      <c r="F117" s="213">
        <f t="shared" si="75"/>
        <v>33809.660000000003</v>
      </c>
      <c r="G117" s="207"/>
      <c r="H117" s="223">
        <f t="shared" si="76"/>
        <v>2016</v>
      </c>
      <c r="I117" s="212" t="s">
        <v>1262</v>
      </c>
      <c r="J117" s="213"/>
      <c r="K117" s="213"/>
      <c r="L117" s="213"/>
      <c r="M117" s="213">
        <f t="shared" si="77"/>
        <v>0</v>
      </c>
      <c r="N117" s="207"/>
      <c r="O117" s="231"/>
      <c r="P117" s="230"/>
      <c r="Q117" s="230"/>
      <c r="R117" s="230"/>
      <c r="S117" s="213">
        <f t="shared" si="78"/>
        <v>0</v>
      </c>
      <c r="T117" s="216" t="s">
        <v>1076</v>
      </c>
      <c r="U117" s="207" t="s">
        <v>327</v>
      </c>
      <c r="V117" s="216">
        <v>33809.660000000003</v>
      </c>
      <c r="W117" s="216">
        <v>6735.02</v>
      </c>
      <c r="X117" s="216"/>
      <c r="Y117" s="213">
        <f t="shared" si="79"/>
        <v>33809.660000000003</v>
      </c>
      <c r="Z117" s="222" t="s">
        <v>1097</v>
      </c>
      <c r="AA117" s="228"/>
      <c r="AB117" s="218"/>
      <c r="AC117" s="220"/>
      <c r="AD117" s="220"/>
      <c r="AE117" s="220" t="str">
        <f t="shared" si="80"/>
        <v>V</v>
      </c>
      <c r="AF117" s="229"/>
      <c r="AG117" s="220" t="str">
        <f t="shared" si="81"/>
        <v>2</v>
      </c>
      <c r="AH117" s="220" t="str">
        <f t="shared" si="82"/>
        <v>2</v>
      </c>
      <c r="AI117" s="220"/>
      <c r="AJ117" s="221" t="str">
        <f t="shared" si="83"/>
        <v>1</v>
      </c>
      <c r="AK117" s="220" t="str">
        <f t="shared" si="84"/>
        <v>2.2..1</v>
      </c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 ht="16.5" customHeight="1" outlineLevel="2">
      <c r="A118" s="207">
        <f t="shared" si="74"/>
        <v>108</v>
      </c>
      <c r="B118" s="207">
        <v>10</v>
      </c>
      <c r="C118" s="245" t="s">
        <v>1263</v>
      </c>
      <c r="D118" s="209">
        <v>13327.88135143251</v>
      </c>
      <c r="E118" s="504" t="s">
        <v>91</v>
      </c>
      <c r="F118" s="213">
        <f t="shared" si="75"/>
        <v>29360.18</v>
      </c>
      <c r="G118" s="207"/>
      <c r="H118" s="223">
        <f t="shared" si="76"/>
        <v>2013</v>
      </c>
      <c r="I118" s="212" t="s">
        <v>167</v>
      </c>
      <c r="J118" s="213"/>
      <c r="K118" s="213"/>
      <c r="L118" s="213"/>
      <c r="M118" s="213">
        <f t="shared" si="77"/>
        <v>0</v>
      </c>
      <c r="N118" s="207"/>
      <c r="O118" s="253" t="s">
        <v>1264</v>
      </c>
      <c r="P118" s="230">
        <v>21635.360000000001</v>
      </c>
      <c r="Q118" s="230">
        <v>7724.82</v>
      </c>
      <c r="R118" s="230">
        <v>29360.18</v>
      </c>
      <c r="S118" s="213">
        <f t="shared" si="78"/>
        <v>29360.18</v>
      </c>
      <c r="T118" s="216" t="s">
        <v>1076</v>
      </c>
      <c r="U118" s="221" t="s">
        <v>329</v>
      </c>
      <c r="V118" s="216">
        <v>21635.360000000001</v>
      </c>
      <c r="W118" s="216">
        <v>7724.82</v>
      </c>
      <c r="X118" s="216">
        <v>29360.18</v>
      </c>
      <c r="Y118" s="213">
        <f t="shared" si="79"/>
        <v>29360.18</v>
      </c>
      <c r="Z118" s="222" t="s">
        <v>1265</v>
      </c>
      <c r="AA118" s="228"/>
      <c r="AB118" s="218"/>
      <c r="AC118" s="220"/>
      <c r="AD118" s="220"/>
      <c r="AE118" s="220" t="str">
        <f t="shared" si="80"/>
        <v>V</v>
      </c>
      <c r="AF118" s="229"/>
      <c r="AG118" s="220" t="str">
        <f t="shared" si="81"/>
        <v>2</v>
      </c>
      <c r="AH118" s="220" t="str">
        <f t="shared" si="82"/>
        <v>2</v>
      </c>
      <c r="AI118" s="220"/>
      <c r="AJ118" s="221" t="str">
        <f t="shared" si="83"/>
        <v>1</v>
      </c>
      <c r="AK118" s="220" t="str">
        <f t="shared" si="84"/>
        <v>2.2..1</v>
      </c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 ht="16.5" customHeight="1" outlineLevel="2">
      <c r="A119" s="207">
        <f t="shared" si="74"/>
        <v>109</v>
      </c>
      <c r="B119" s="207">
        <v>11</v>
      </c>
      <c r="C119" s="245" t="s">
        <v>1266</v>
      </c>
      <c r="D119" s="209">
        <v>2259.7747604169817</v>
      </c>
      <c r="E119" s="504" t="s">
        <v>123</v>
      </c>
      <c r="F119" s="213">
        <f t="shared" si="75"/>
        <v>0</v>
      </c>
      <c r="G119" s="207"/>
      <c r="H119" s="223">
        <f t="shared" si="76"/>
        <v>2018</v>
      </c>
      <c r="I119" s="212" t="s">
        <v>1267</v>
      </c>
      <c r="J119" s="213"/>
      <c r="K119" s="213"/>
      <c r="L119" s="213"/>
      <c r="M119" s="213">
        <f t="shared" si="77"/>
        <v>0</v>
      </c>
      <c r="N119" s="207"/>
      <c r="O119" s="231" t="s">
        <v>331</v>
      </c>
      <c r="P119" s="230">
        <v>0</v>
      </c>
      <c r="Q119" s="230">
        <v>0</v>
      </c>
      <c r="R119" s="230">
        <v>0</v>
      </c>
      <c r="S119" s="213">
        <f t="shared" si="78"/>
        <v>0</v>
      </c>
      <c r="T119" s="216"/>
      <c r="U119" s="207"/>
      <c r="V119" s="216"/>
      <c r="W119" s="216"/>
      <c r="X119" s="216"/>
      <c r="Y119" s="213">
        <f t="shared" si="79"/>
        <v>0</v>
      </c>
      <c r="Z119" s="222" t="s">
        <v>1097</v>
      </c>
      <c r="AA119" s="228"/>
      <c r="AB119" s="218"/>
      <c r="AC119" s="220"/>
      <c r="AD119" s="220"/>
      <c r="AE119" s="220" t="str">
        <f t="shared" si="80"/>
        <v/>
      </c>
      <c r="AF119" s="229"/>
      <c r="AG119" s="220" t="str">
        <f t="shared" si="81"/>
        <v>2</v>
      </c>
      <c r="AH119" s="220" t="str">
        <f t="shared" si="82"/>
        <v>2</v>
      </c>
      <c r="AI119" s="220"/>
      <c r="AJ119" s="221" t="str">
        <f t="shared" si="83"/>
        <v>2</v>
      </c>
      <c r="AK119" s="220" t="str">
        <f t="shared" si="84"/>
        <v>2.2..2</v>
      </c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spans="1:61" ht="16.5" customHeight="1" outlineLevel="2">
      <c r="A120" s="207">
        <f t="shared" si="74"/>
        <v>110</v>
      </c>
      <c r="B120" s="207">
        <v>12</v>
      </c>
      <c r="C120" s="245" t="s">
        <v>1268</v>
      </c>
      <c r="D120" s="209">
        <v>30934.543695174758</v>
      </c>
      <c r="E120" s="504" t="s">
        <v>104</v>
      </c>
      <c r="F120" s="213">
        <f t="shared" si="75"/>
        <v>64.606999999999999</v>
      </c>
      <c r="G120" s="207"/>
      <c r="H120" s="223">
        <f t="shared" si="76"/>
        <v>2012</v>
      </c>
      <c r="I120" s="212" t="s">
        <v>315</v>
      </c>
      <c r="J120" s="213"/>
      <c r="K120" s="213"/>
      <c r="L120" s="213"/>
      <c r="M120" s="213">
        <f t="shared" si="77"/>
        <v>0</v>
      </c>
      <c r="N120" s="207"/>
      <c r="O120" s="231" t="s">
        <v>926</v>
      </c>
      <c r="P120" s="230">
        <v>64.606999999999999</v>
      </c>
      <c r="Q120" s="230">
        <v>0</v>
      </c>
      <c r="R120" s="230">
        <v>64.606999999999999</v>
      </c>
      <c r="S120" s="213">
        <f t="shared" si="78"/>
        <v>64.606999999999999</v>
      </c>
      <c r="T120" s="216"/>
      <c r="U120" s="227" t="s">
        <v>334</v>
      </c>
      <c r="V120" s="216">
        <v>30934.55</v>
      </c>
      <c r="W120" s="216"/>
      <c r="X120" s="216"/>
      <c r="Y120" s="213">
        <f t="shared" si="79"/>
        <v>30934.55</v>
      </c>
      <c r="Z120" s="222" t="s">
        <v>1097</v>
      </c>
      <c r="AA120" s="228"/>
      <c r="AB120" s="218"/>
      <c r="AC120" s="220"/>
      <c r="AD120" s="220"/>
      <c r="AE120" s="220" t="str">
        <f t="shared" si="80"/>
        <v/>
      </c>
      <c r="AF120" s="229"/>
      <c r="AG120" s="220" t="str">
        <f t="shared" si="81"/>
        <v>2</v>
      </c>
      <c r="AH120" s="220" t="str">
        <f t="shared" si="82"/>
        <v>2</v>
      </c>
      <c r="AI120" s="220"/>
      <c r="AJ120" s="221" t="str">
        <f t="shared" si="83"/>
        <v>1</v>
      </c>
      <c r="AK120" s="220" t="str">
        <f t="shared" si="84"/>
        <v>2.2..1</v>
      </c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 ht="16.5" customHeight="1" outlineLevel="2">
      <c r="A121" s="207">
        <f t="shared" si="74"/>
        <v>111</v>
      </c>
      <c r="B121" s="207">
        <v>13</v>
      </c>
      <c r="C121" s="245" t="s">
        <v>1269</v>
      </c>
      <c r="D121" s="209">
        <v>97345.594411866899</v>
      </c>
      <c r="E121" s="504" t="s">
        <v>104</v>
      </c>
      <c r="F121" s="213">
        <f t="shared" si="75"/>
        <v>11500</v>
      </c>
      <c r="G121" s="207"/>
      <c r="H121" s="223">
        <f t="shared" si="76"/>
        <v>2013</v>
      </c>
      <c r="I121" s="212" t="s">
        <v>941</v>
      </c>
      <c r="J121" s="213">
        <v>11500</v>
      </c>
      <c r="K121" s="213">
        <v>0</v>
      </c>
      <c r="L121" s="213">
        <v>11500</v>
      </c>
      <c r="M121" s="213">
        <f t="shared" si="77"/>
        <v>11500</v>
      </c>
      <c r="N121" s="207"/>
      <c r="O121" s="231"/>
      <c r="P121" s="230"/>
      <c r="Q121" s="230"/>
      <c r="R121" s="230"/>
      <c r="S121" s="213">
        <f t="shared" si="78"/>
        <v>0</v>
      </c>
      <c r="T121" s="216"/>
      <c r="U121" s="207"/>
      <c r="V121" s="216"/>
      <c r="W121" s="216"/>
      <c r="X121" s="216"/>
      <c r="Y121" s="213">
        <f t="shared" si="79"/>
        <v>0</v>
      </c>
      <c r="Z121" s="222">
        <v>2021</v>
      </c>
      <c r="AA121" s="228"/>
      <c r="AB121" s="218"/>
      <c r="AC121" s="220"/>
      <c r="AD121" s="220" t="s">
        <v>1270</v>
      </c>
      <c r="AE121" s="220" t="str">
        <f t="shared" si="80"/>
        <v/>
      </c>
      <c r="AF121" s="229"/>
      <c r="AG121" s="220" t="str">
        <f t="shared" si="81"/>
        <v>2</v>
      </c>
      <c r="AH121" s="220" t="str">
        <f t="shared" si="82"/>
        <v>1</v>
      </c>
      <c r="AI121" s="220"/>
      <c r="AJ121" s="221" t="str">
        <f t="shared" si="83"/>
        <v>2</v>
      </c>
      <c r="AK121" s="220" t="str">
        <f t="shared" si="84"/>
        <v>2.1..2</v>
      </c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 ht="16.5" customHeight="1" outlineLevel="2">
      <c r="A122" s="207">
        <f t="shared" si="74"/>
        <v>112</v>
      </c>
      <c r="B122" s="207">
        <v>14</v>
      </c>
      <c r="C122" s="245" t="s">
        <v>1271</v>
      </c>
      <c r="D122" s="209">
        <v>3837.0460457090276</v>
      </c>
      <c r="E122" s="504" t="s">
        <v>123</v>
      </c>
      <c r="F122" s="213">
        <f t="shared" si="75"/>
        <v>0</v>
      </c>
      <c r="G122" s="207"/>
      <c r="H122" s="223">
        <f t="shared" si="76"/>
        <v>2012</v>
      </c>
      <c r="I122" s="212" t="s">
        <v>338</v>
      </c>
      <c r="J122" s="213"/>
      <c r="K122" s="213"/>
      <c r="L122" s="213"/>
      <c r="M122" s="213">
        <f t="shared" si="77"/>
        <v>0</v>
      </c>
      <c r="N122" s="207"/>
      <c r="O122" s="231"/>
      <c r="P122" s="230"/>
      <c r="Q122" s="230"/>
      <c r="R122" s="230"/>
      <c r="S122" s="213">
        <f t="shared" si="78"/>
        <v>0</v>
      </c>
      <c r="T122" s="216"/>
      <c r="U122" s="207"/>
      <c r="V122" s="216"/>
      <c r="W122" s="216"/>
      <c r="X122" s="216"/>
      <c r="Y122" s="213">
        <f t="shared" si="79"/>
        <v>0</v>
      </c>
      <c r="Z122" s="222" t="s">
        <v>1097</v>
      </c>
      <c r="AA122" s="228"/>
      <c r="AB122" s="218"/>
      <c r="AC122" s="220"/>
      <c r="AD122" s="220"/>
      <c r="AE122" s="220" t="str">
        <f t="shared" si="80"/>
        <v/>
      </c>
      <c r="AF122" s="229"/>
      <c r="AG122" s="220" t="str">
        <f t="shared" si="81"/>
        <v>2</v>
      </c>
      <c r="AH122" s="220" t="str">
        <f t="shared" si="82"/>
        <v>2</v>
      </c>
      <c r="AI122" s="220"/>
      <c r="AJ122" s="221" t="str">
        <f t="shared" si="83"/>
        <v>2</v>
      </c>
      <c r="AK122" s="220" t="str">
        <f t="shared" si="84"/>
        <v>2.2..2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 ht="16.5" customHeight="1" outlineLevel="2">
      <c r="A123" s="207">
        <f t="shared" si="74"/>
        <v>113</v>
      </c>
      <c r="B123" s="207">
        <v>15</v>
      </c>
      <c r="C123" s="245" t="s">
        <v>1272</v>
      </c>
      <c r="D123" s="209">
        <v>7178.015909517605</v>
      </c>
      <c r="E123" s="504" t="s">
        <v>104</v>
      </c>
      <c r="F123" s="213">
        <f t="shared" si="75"/>
        <v>8710</v>
      </c>
      <c r="G123" s="207"/>
      <c r="H123" s="223">
        <f t="shared" si="76"/>
        <v>2021</v>
      </c>
      <c r="I123" s="212" t="s">
        <v>265</v>
      </c>
      <c r="J123" s="213">
        <v>0</v>
      </c>
      <c r="K123" s="213">
        <v>0</v>
      </c>
      <c r="L123" s="213">
        <v>8710</v>
      </c>
      <c r="M123" s="213">
        <f t="shared" si="77"/>
        <v>8710</v>
      </c>
      <c r="N123" s="207"/>
      <c r="O123" s="231"/>
      <c r="P123" s="230"/>
      <c r="Q123" s="230"/>
      <c r="R123" s="230"/>
      <c r="S123" s="213">
        <f t="shared" si="78"/>
        <v>0</v>
      </c>
      <c r="T123" s="216"/>
      <c r="U123" s="207"/>
      <c r="V123" s="216"/>
      <c r="W123" s="216"/>
      <c r="X123" s="216"/>
      <c r="Y123" s="213">
        <f t="shared" si="79"/>
        <v>0</v>
      </c>
      <c r="Z123" s="222" t="s">
        <v>1097</v>
      </c>
      <c r="AA123" s="228"/>
      <c r="AB123" s="218"/>
      <c r="AC123" s="220"/>
      <c r="AD123" s="220"/>
      <c r="AE123" s="220" t="str">
        <f t="shared" si="80"/>
        <v/>
      </c>
      <c r="AF123" s="229"/>
      <c r="AG123" s="220" t="str">
        <f t="shared" si="81"/>
        <v>1</v>
      </c>
      <c r="AH123" s="220" t="str">
        <f t="shared" si="82"/>
        <v>1</v>
      </c>
      <c r="AI123" s="220"/>
      <c r="AJ123" s="221" t="str">
        <f t="shared" si="83"/>
        <v>2</v>
      </c>
      <c r="AK123" s="220" t="str">
        <f t="shared" si="84"/>
        <v>1.1..2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 ht="16.5" customHeight="1" outlineLevel="2">
      <c r="A124" s="207">
        <f t="shared" si="74"/>
        <v>114</v>
      </c>
      <c r="B124" s="207">
        <v>16</v>
      </c>
      <c r="C124" s="245" t="s">
        <v>1273</v>
      </c>
      <c r="D124" s="209">
        <v>59522.132234532728</v>
      </c>
      <c r="E124" s="504" t="s">
        <v>91</v>
      </c>
      <c r="F124" s="213">
        <f t="shared" si="75"/>
        <v>165498</v>
      </c>
      <c r="G124" s="207" t="s">
        <v>1076</v>
      </c>
      <c r="H124" s="223">
        <f t="shared" si="76"/>
        <v>2021</v>
      </c>
      <c r="I124" s="248" t="s">
        <v>289</v>
      </c>
      <c r="J124" s="246">
        <v>0</v>
      </c>
      <c r="K124" s="246">
        <v>0</v>
      </c>
      <c r="L124" s="246">
        <v>165498</v>
      </c>
      <c r="M124" s="213">
        <f t="shared" si="77"/>
        <v>165498</v>
      </c>
      <c r="N124" s="207"/>
      <c r="O124" s="231"/>
      <c r="P124" s="230"/>
      <c r="Q124" s="230"/>
      <c r="R124" s="230"/>
      <c r="S124" s="213">
        <f t="shared" si="78"/>
        <v>0</v>
      </c>
      <c r="T124" s="216"/>
      <c r="U124" s="207"/>
      <c r="V124" s="216"/>
      <c r="W124" s="216"/>
      <c r="X124" s="216"/>
      <c r="Y124" s="213">
        <f t="shared" si="79"/>
        <v>0</v>
      </c>
      <c r="Z124" s="222">
        <v>2020</v>
      </c>
      <c r="AA124" s="228"/>
      <c r="AB124" s="218"/>
      <c r="AC124" s="220"/>
      <c r="AD124" s="220" t="s">
        <v>1274</v>
      </c>
      <c r="AE124" s="220" t="str">
        <f t="shared" si="80"/>
        <v>V</v>
      </c>
      <c r="AF124" s="229"/>
      <c r="AG124" s="220" t="str">
        <f t="shared" si="81"/>
        <v>1</v>
      </c>
      <c r="AH124" s="220" t="str">
        <f t="shared" si="82"/>
        <v>1</v>
      </c>
      <c r="AI124" s="220"/>
      <c r="AJ124" s="221" t="str">
        <f t="shared" si="83"/>
        <v>2</v>
      </c>
      <c r="AK124" s="220" t="str">
        <f t="shared" si="84"/>
        <v>1.1..2</v>
      </c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ht="16.5" customHeight="1" outlineLevel="2">
      <c r="A125" s="207">
        <f t="shared" si="74"/>
        <v>115</v>
      </c>
      <c r="B125" s="207">
        <v>17</v>
      </c>
      <c r="C125" s="245" t="s">
        <v>1275</v>
      </c>
      <c r="D125" s="209">
        <v>3691.2151736351102</v>
      </c>
      <c r="E125" s="504" t="s">
        <v>123</v>
      </c>
      <c r="F125" s="213">
        <f t="shared" si="75"/>
        <v>0</v>
      </c>
      <c r="G125" s="207"/>
      <c r="H125" s="223">
        <f t="shared" si="76"/>
        <v>2018</v>
      </c>
      <c r="I125" s="248" t="s">
        <v>151</v>
      </c>
      <c r="J125" s="246"/>
      <c r="K125" s="246"/>
      <c r="L125" s="246"/>
      <c r="M125" s="213">
        <f t="shared" si="77"/>
        <v>0</v>
      </c>
      <c r="N125" s="207"/>
      <c r="O125" s="231"/>
      <c r="P125" s="230"/>
      <c r="Q125" s="230"/>
      <c r="R125" s="230"/>
      <c r="S125" s="213">
        <f t="shared" si="78"/>
        <v>0</v>
      </c>
      <c r="T125" s="216"/>
      <c r="U125" s="207"/>
      <c r="V125" s="216"/>
      <c r="W125" s="216"/>
      <c r="X125" s="216"/>
      <c r="Y125" s="213">
        <f t="shared" si="79"/>
        <v>0</v>
      </c>
      <c r="Z125" s="222" t="s">
        <v>1097</v>
      </c>
      <c r="AA125" s="228"/>
      <c r="AB125" s="218"/>
      <c r="AC125" s="220"/>
      <c r="AD125" s="220"/>
      <c r="AE125" s="220" t="str">
        <f t="shared" si="80"/>
        <v/>
      </c>
      <c r="AF125" s="229"/>
      <c r="AG125" s="220" t="str">
        <f>IF(H125=0,"3",IF(H125&lt;=2018,"2","1"))</f>
        <v>2</v>
      </c>
      <c r="AH125" s="220" t="str">
        <f t="shared" si="82"/>
        <v>2</v>
      </c>
      <c r="AI125" s="220"/>
      <c r="AJ125" s="221" t="str">
        <f t="shared" si="83"/>
        <v>2</v>
      </c>
      <c r="AK125" s="220" t="str">
        <f t="shared" si="84"/>
        <v>2.2..2</v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 ht="16.5" customHeight="1" outlineLevel="1">
      <c r="A126" s="207"/>
      <c r="B126" s="235"/>
      <c r="C126" s="249" t="s">
        <v>1276</v>
      </c>
      <c r="D126" s="250">
        <f>SUM(D109:D125)</f>
        <v>470602.37227852165</v>
      </c>
      <c r="E126" s="238">
        <f>COUNTIF(E109:E125,"D") + COUNTIF(E109:E125,"DS")</f>
        <v>11</v>
      </c>
      <c r="F126" s="261">
        <f>SUBTOTAL(9,F109:F124)</f>
        <v>390981.50699999998</v>
      </c>
      <c r="G126" s="201">
        <f>COUNTIF(G109:G125,$G$95)</f>
        <v>3</v>
      </c>
      <c r="H126" s="262"/>
      <c r="I126" s="265"/>
      <c r="J126" s="261">
        <f t="shared" ref="J126:M126" si="85">SUBTOTAL(9,J109:J124)</f>
        <v>138233.4</v>
      </c>
      <c r="K126" s="261">
        <f t="shared" si="85"/>
        <v>0</v>
      </c>
      <c r="L126" s="261">
        <f t="shared" si="85"/>
        <v>312441.40000000002</v>
      </c>
      <c r="M126" s="261">
        <f t="shared" si="85"/>
        <v>312441.40000000002</v>
      </c>
      <c r="N126" s="201">
        <f>COUNTIF(N109:N125,$G$95)</f>
        <v>2</v>
      </c>
      <c r="O126" s="236"/>
      <c r="P126" s="255">
        <v>309408.087</v>
      </c>
      <c r="Q126" s="255">
        <v>14459.84</v>
      </c>
      <c r="R126" s="255">
        <v>281930.587</v>
      </c>
      <c r="S126" s="261">
        <f>SUBTOTAL(9,S109:S124)</f>
        <v>298093.43700000003</v>
      </c>
      <c r="T126" s="201">
        <f>COUNTIF(T109:T125,$G$95)</f>
        <v>3</v>
      </c>
      <c r="U126" s="201">
        <v>4</v>
      </c>
      <c r="V126" s="203">
        <v>309408.087</v>
      </c>
      <c r="W126" s="203">
        <v>14459.84</v>
      </c>
      <c r="X126" s="203">
        <v>281930.587</v>
      </c>
      <c r="Y126" s="261">
        <f>SUBTOTAL(9,Y109:Y124)</f>
        <v>348002.85</v>
      </c>
      <c r="Z126" s="243" t="s">
        <v>1138</v>
      </c>
      <c r="AA126" s="228"/>
      <c r="AB126" s="218"/>
      <c r="AC126" s="220"/>
      <c r="AD126" s="220"/>
      <c r="AE126" s="244">
        <f>COUNTIF(AE109:AE125,"V") + COUNTIF(AE109:AE125,"VV") + COUNTIF(AE109:AE125,"VVV")</f>
        <v>6</v>
      </c>
      <c r="AF126" s="229"/>
      <c r="AG126" s="220"/>
      <c r="AH126" s="220"/>
      <c r="AI126" s="220"/>
      <c r="AJ126" s="221"/>
      <c r="AK126" s="220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ht="16.5" customHeight="1" outlineLevel="1">
      <c r="A127" s="207">
        <f t="shared" ref="A127:A136" si="86">SUBTOTAL(3,$B$6:B127)</f>
        <v>116</v>
      </c>
      <c r="B127" s="207">
        <v>1</v>
      </c>
      <c r="C127" s="208" t="s">
        <v>1277</v>
      </c>
      <c r="D127" s="266">
        <v>8329.3106324087821</v>
      </c>
      <c r="E127" s="504" t="s">
        <v>123</v>
      </c>
      <c r="F127" s="213">
        <f t="shared" ref="F127:F128" si="87">IF(M127&gt;0,M127,IF(S127&gt;0,S127,IF(Y127&gt;0,Y127,0)))</f>
        <v>0</v>
      </c>
      <c r="G127" s="256"/>
      <c r="H127" s="223">
        <f t="shared" ref="H127:H136" si="88">VALUE(RIGHT(I127,4))</f>
        <v>2011</v>
      </c>
      <c r="I127" s="248" t="s">
        <v>1278</v>
      </c>
      <c r="J127" s="267"/>
      <c r="K127" s="267"/>
      <c r="L127" s="267"/>
      <c r="M127" s="213">
        <f t="shared" ref="M127:M136" si="89">IF(L127&gt;0,L127,IF(J127&gt;0,J127,0))</f>
        <v>0</v>
      </c>
      <c r="N127" s="256"/>
      <c r="O127" s="258"/>
      <c r="P127" s="259"/>
      <c r="Q127" s="259"/>
      <c r="R127" s="259"/>
      <c r="S127" s="213">
        <f t="shared" ref="S127:S136" si="90">IF(R127&gt;0,R127,IF(P127&gt;0,P127,0))</f>
        <v>0</v>
      </c>
      <c r="T127" s="260"/>
      <c r="U127" s="256"/>
      <c r="V127" s="260"/>
      <c r="W127" s="260"/>
      <c r="X127" s="260"/>
      <c r="Y127" s="213">
        <f t="shared" ref="Y127:Y136" si="91">IF(X127&gt;0,X127,IF(V127&gt;0,V127,0))</f>
        <v>0</v>
      </c>
      <c r="Z127" s="222">
        <v>2023</v>
      </c>
      <c r="AA127" s="228" t="s">
        <v>1090</v>
      </c>
      <c r="AB127" s="218"/>
      <c r="AC127" s="220"/>
      <c r="AD127" s="220" t="s">
        <v>1279</v>
      </c>
      <c r="AE127" s="220" t="str">
        <f t="shared" ref="AE127:AE136" si="92">CONCATENATE(G127,N127,T127)</f>
        <v/>
      </c>
      <c r="AF127" s="229"/>
      <c r="AG127" s="220" t="str">
        <f t="shared" ref="AG127:AG136" si="93">IF(H127=0,"3",IF(H127&lt;=2018,"2","1"))</f>
        <v>2</v>
      </c>
      <c r="AH127" s="220" t="str">
        <f t="shared" ref="AH127:AH136" si="94">IF(M127&gt;0,"1","2")</f>
        <v>2</v>
      </c>
      <c r="AI127" s="220"/>
      <c r="AJ127" s="221" t="str">
        <f t="shared" ref="AJ127:AJ136" si="95">IF(S127&gt;0,"1",IF(Y127&gt;0,"1","2"))</f>
        <v>2</v>
      </c>
      <c r="AK127" s="220" t="str">
        <f t="shared" ref="AK127:AK136" si="96">CONCATENATE(AG127,".",AH127,".",AI127,".",AJ127)</f>
        <v>2.2..2</v>
      </c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 ht="16.5" customHeight="1" outlineLevel="2">
      <c r="A128" s="207">
        <f t="shared" si="86"/>
        <v>117</v>
      </c>
      <c r="B128" s="207">
        <v>2</v>
      </c>
      <c r="C128" s="208" t="s">
        <v>1280</v>
      </c>
      <c r="D128" s="247">
        <v>2187.8853890418682</v>
      </c>
      <c r="E128" s="504" t="s">
        <v>104</v>
      </c>
      <c r="F128" s="213">
        <f t="shared" si="87"/>
        <v>6615</v>
      </c>
      <c r="G128" s="207"/>
      <c r="H128" s="223" t="e">
        <f t="shared" si="88"/>
        <v>#VALUE!</v>
      </c>
      <c r="I128" s="212"/>
      <c r="J128" s="213"/>
      <c r="K128" s="213"/>
      <c r="L128" s="213"/>
      <c r="M128" s="213">
        <f t="shared" si="89"/>
        <v>0</v>
      </c>
      <c r="N128" s="207"/>
      <c r="O128" s="231" t="s">
        <v>297</v>
      </c>
      <c r="P128" s="230">
        <v>6615</v>
      </c>
      <c r="Q128" s="230">
        <v>0</v>
      </c>
      <c r="R128" s="230">
        <v>6615</v>
      </c>
      <c r="S128" s="213">
        <f t="shared" si="90"/>
        <v>6615</v>
      </c>
      <c r="T128" s="216"/>
      <c r="U128" s="207"/>
      <c r="V128" s="216"/>
      <c r="W128" s="216"/>
      <c r="X128" s="216"/>
      <c r="Y128" s="213">
        <f t="shared" si="91"/>
        <v>0</v>
      </c>
      <c r="Z128" s="222" t="s">
        <v>1129</v>
      </c>
      <c r="AA128" s="228" t="s">
        <v>1090</v>
      </c>
      <c r="AB128" s="218"/>
      <c r="AC128" s="220"/>
      <c r="AD128" s="220" t="s">
        <v>1281</v>
      </c>
      <c r="AE128" s="220" t="str">
        <f t="shared" si="92"/>
        <v/>
      </c>
      <c r="AF128" s="229"/>
      <c r="AG128" s="220" t="e">
        <f t="shared" si="93"/>
        <v>#VALUE!</v>
      </c>
      <c r="AH128" s="220" t="str">
        <f t="shared" si="94"/>
        <v>2</v>
      </c>
      <c r="AI128" s="220"/>
      <c r="AJ128" s="221" t="str">
        <f t="shared" si="95"/>
        <v>1</v>
      </c>
      <c r="AK128" s="220" t="e">
        <f t="shared" si="96"/>
        <v>#VALUE!</v>
      </c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61" ht="16.5" customHeight="1" outlineLevel="2">
      <c r="A129" s="207">
        <f t="shared" si="86"/>
        <v>118</v>
      </c>
      <c r="B129" s="207">
        <v>3</v>
      </c>
      <c r="C129" s="208" t="s">
        <v>1282</v>
      </c>
      <c r="D129" s="247">
        <v>4591.9380982396933</v>
      </c>
      <c r="E129" s="504" t="s">
        <v>91</v>
      </c>
      <c r="F129" s="213">
        <f>Y129</f>
        <v>3464</v>
      </c>
      <c r="G129" s="207"/>
      <c r="H129" s="223">
        <f t="shared" si="88"/>
        <v>2015</v>
      </c>
      <c r="I129" s="212" t="s">
        <v>1283</v>
      </c>
      <c r="J129" s="213">
        <v>2298.59</v>
      </c>
      <c r="K129" s="213">
        <v>0</v>
      </c>
      <c r="L129" s="213">
        <v>2298.59</v>
      </c>
      <c r="M129" s="213">
        <f t="shared" si="89"/>
        <v>2298.59</v>
      </c>
      <c r="N129" s="207"/>
      <c r="O129" s="231"/>
      <c r="P129" s="230"/>
      <c r="Q129" s="230"/>
      <c r="R129" s="230"/>
      <c r="S129" s="213">
        <f t="shared" si="90"/>
        <v>0</v>
      </c>
      <c r="T129" s="216" t="s">
        <v>1076</v>
      </c>
      <c r="U129" s="207" t="s">
        <v>299</v>
      </c>
      <c r="V129" s="216">
        <v>3463.96</v>
      </c>
      <c r="W129" s="216">
        <v>0</v>
      </c>
      <c r="X129" s="216">
        <v>3464</v>
      </c>
      <c r="Y129" s="213">
        <f t="shared" si="91"/>
        <v>3464</v>
      </c>
      <c r="Z129" s="222">
        <v>2023</v>
      </c>
      <c r="AA129" s="228" t="s">
        <v>1090</v>
      </c>
      <c r="AB129" s="218"/>
      <c r="AC129" s="220"/>
      <c r="AD129" s="220"/>
      <c r="AE129" s="220" t="str">
        <f t="shared" si="92"/>
        <v>V</v>
      </c>
      <c r="AF129" s="229"/>
      <c r="AG129" s="220" t="str">
        <f t="shared" si="93"/>
        <v>2</v>
      </c>
      <c r="AH129" s="220" t="str">
        <f t="shared" si="94"/>
        <v>1</v>
      </c>
      <c r="AI129" s="220"/>
      <c r="AJ129" s="221" t="str">
        <f t="shared" si="95"/>
        <v>1</v>
      </c>
      <c r="AK129" s="220" t="str">
        <f t="shared" si="96"/>
        <v>2.1..1</v>
      </c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1" ht="16.5" customHeight="1" outlineLevel="2">
      <c r="A130" s="207">
        <f t="shared" si="86"/>
        <v>119</v>
      </c>
      <c r="B130" s="207">
        <v>4</v>
      </c>
      <c r="C130" s="208" t="s">
        <v>1284</v>
      </c>
      <c r="D130" s="247">
        <v>6116.4050620521712</v>
      </c>
      <c r="E130" s="504" t="s">
        <v>91</v>
      </c>
      <c r="F130" s="213">
        <f t="shared" ref="F130:F136" si="97">IF(M130&gt;0,M130,IF(S130&gt;0,S130,IF(Y130&gt;0,Y130,0)))</f>
        <v>8283</v>
      </c>
      <c r="G130" s="207" t="s">
        <v>1076</v>
      </c>
      <c r="H130" s="223">
        <f t="shared" si="88"/>
        <v>2021</v>
      </c>
      <c r="I130" s="248" t="s">
        <v>243</v>
      </c>
      <c r="J130" s="246">
        <v>6391</v>
      </c>
      <c r="K130" s="246">
        <v>0</v>
      </c>
      <c r="L130" s="246">
        <v>8283</v>
      </c>
      <c r="M130" s="213">
        <f t="shared" si="89"/>
        <v>8283</v>
      </c>
      <c r="N130" s="207" t="s">
        <v>1076</v>
      </c>
      <c r="O130" s="231" t="s">
        <v>470</v>
      </c>
      <c r="P130" s="230">
        <v>6391.27</v>
      </c>
      <c r="Q130" s="230">
        <v>1891.92</v>
      </c>
      <c r="R130" s="230"/>
      <c r="S130" s="213">
        <f t="shared" si="90"/>
        <v>6391.27</v>
      </c>
      <c r="T130" s="216"/>
      <c r="U130" s="207"/>
      <c r="V130" s="216"/>
      <c r="W130" s="216"/>
      <c r="X130" s="216"/>
      <c r="Y130" s="213">
        <f t="shared" si="91"/>
        <v>0</v>
      </c>
      <c r="Z130" s="222">
        <v>2020</v>
      </c>
      <c r="AA130" s="228"/>
      <c r="AB130" s="218"/>
      <c r="AC130" s="220"/>
      <c r="AD130" s="220"/>
      <c r="AE130" s="220" t="str">
        <f t="shared" si="92"/>
        <v>VV</v>
      </c>
      <c r="AF130" s="229"/>
      <c r="AG130" s="220" t="str">
        <f t="shared" si="93"/>
        <v>1</v>
      </c>
      <c r="AH130" s="220" t="str">
        <f t="shared" si="94"/>
        <v>1</v>
      </c>
      <c r="AI130" s="220"/>
      <c r="AJ130" s="221" t="str">
        <f t="shared" si="95"/>
        <v>1</v>
      </c>
      <c r="AK130" s="220" t="str">
        <f t="shared" si="96"/>
        <v>1.1..1</v>
      </c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 ht="16.5" customHeight="1" outlineLevel="2">
      <c r="A131" s="207">
        <f t="shared" si="86"/>
        <v>120</v>
      </c>
      <c r="B131" s="207">
        <v>5</v>
      </c>
      <c r="C131" s="208" t="s">
        <v>1285</v>
      </c>
      <c r="D131" s="247">
        <v>3344.564602945627</v>
      </c>
      <c r="E131" s="504" t="s">
        <v>91</v>
      </c>
      <c r="F131" s="213">
        <f t="shared" si="97"/>
        <v>2841</v>
      </c>
      <c r="G131" s="207"/>
      <c r="H131" s="223">
        <f t="shared" si="88"/>
        <v>2012</v>
      </c>
      <c r="I131" s="248" t="s">
        <v>223</v>
      </c>
      <c r="J131" s="246"/>
      <c r="K131" s="246"/>
      <c r="L131" s="246"/>
      <c r="M131" s="213">
        <f t="shared" si="89"/>
        <v>0</v>
      </c>
      <c r="N131" s="207"/>
      <c r="O131" s="231"/>
      <c r="P131" s="230"/>
      <c r="Q131" s="230"/>
      <c r="R131" s="230"/>
      <c r="S131" s="213">
        <f t="shared" si="90"/>
        <v>0</v>
      </c>
      <c r="T131" s="216" t="s">
        <v>1076</v>
      </c>
      <c r="U131" s="207" t="s">
        <v>302</v>
      </c>
      <c r="V131" s="216">
        <v>2841</v>
      </c>
      <c r="W131" s="216"/>
      <c r="X131" s="216">
        <v>2841</v>
      </c>
      <c r="Y131" s="213">
        <f t="shared" si="91"/>
        <v>2841</v>
      </c>
      <c r="Z131" s="222" t="s">
        <v>1097</v>
      </c>
      <c r="AA131" s="228"/>
      <c r="AB131" s="218"/>
      <c r="AC131" s="220"/>
      <c r="AD131" s="220"/>
      <c r="AE131" s="220" t="str">
        <f t="shared" si="92"/>
        <v>V</v>
      </c>
      <c r="AF131" s="229"/>
      <c r="AG131" s="220" t="str">
        <f t="shared" si="93"/>
        <v>2</v>
      </c>
      <c r="AH131" s="220" t="str">
        <f t="shared" si="94"/>
        <v>2</v>
      </c>
      <c r="AI131" s="220"/>
      <c r="AJ131" s="221" t="str">
        <f t="shared" si="95"/>
        <v>1</v>
      </c>
      <c r="AK131" s="220" t="str">
        <f t="shared" si="96"/>
        <v>2.2..1</v>
      </c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 ht="16.5" customHeight="1" outlineLevel="2">
      <c r="A132" s="207">
        <f t="shared" si="86"/>
        <v>121</v>
      </c>
      <c r="B132" s="207">
        <v>6</v>
      </c>
      <c r="C132" s="245" t="s">
        <v>1286</v>
      </c>
      <c r="D132" s="209">
        <v>580.00379746961005</v>
      </c>
      <c r="E132" s="504" t="s">
        <v>91</v>
      </c>
      <c r="F132" s="213">
        <f t="shared" si="97"/>
        <v>462</v>
      </c>
      <c r="G132" s="207" t="s">
        <v>1076</v>
      </c>
      <c r="H132" s="223">
        <f t="shared" si="88"/>
        <v>2021</v>
      </c>
      <c r="I132" s="248" t="s">
        <v>304</v>
      </c>
      <c r="J132" s="246">
        <v>0</v>
      </c>
      <c r="K132" s="246">
        <v>0</v>
      </c>
      <c r="L132" s="246">
        <v>462</v>
      </c>
      <c r="M132" s="213">
        <f t="shared" si="89"/>
        <v>462</v>
      </c>
      <c r="N132" s="207"/>
      <c r="O132" s="231"/>
      <c r="P132" s="230"/>
      <c r="Q132" s="230"/>
      <c r="R132" s="230"/>
      <c r="S132" s="213">
        <f t="shared" si="90"/>
        <v>0</v>
      </c>
      <c r="T132" s="216"/>
      <c r="U132" s="207"/>
      <c r="V132" s="216"/>
      <c r="W132" s="216"/>
      <c r="X132" s="216"/>
      <c r="Y132" s="213">
        <f t="shared" si="91"/>
        <v>0</v>
      </c>
      <c r="Z132" s="222" t="s">
        <v>1097</v>
      </c>
      <c r="AA132" s="228"/>
      <c r="AB132" s="218"/>
      <c r="AC132" s="220"/>
      <c r="AD132" s="220" t="s">
        <v>1287</v>
      </c>
      <c r="AE132" s="220" t="str">
        <f t="shared" si="92"/>
        <v>V</v>
      </c>
      <c r="AF132" s="229"/>
      <c r="AG132" s="220" t="str">
        <f t="shared" si="93"/>
        <v>1</v>
      </c>
      <c r="AH132" s="220" t="str">
        <f t="shared" si="94"/>
        <v>1</v>
      </c>
      <c r="AI132" s="220"/>
      <c r="AJ132" s="221" t="str">
        <f t="shared" si="95"/>
        <v>2</v>
      </c>
      <c r="AK132" s="220" t="str">
        <f t="shared" si="96"/>
        <v>1.1..2</v>
      </c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1:61" ht="16.5" customHeight="1" outlineLevel="2">
      <c r="A133" s="207">
        <f t="shared" si="86"/>
        <v>122</v>
      </c>
      <c r="B133" s="207">
        <v>7</v>
      </c>
      <c r="C133" s="245" t="s">
        <v>1288</v>
      </c>
      <c r="D133" s="209">
        <v>8479.4587555665312</v>
      </c>
      <c r="E133" s="504" t="s">
        <v>91</v>
      </c>
      <c r="F133" s="213">
        <f t="shared" si="97"/>
        <v>9010.2099999999991</v>
      </c>
      <c r="G133" s="207"/>
      <c r="H133" s="223">
        <f t="shared" si="88"/>
        <v>2012</v>
      </c>
      <c r="I133" s="212" t="s">
        <v>527</v>
      </c>
      <c r="J133" s="213"/>
      <c r="K133" s="213"/>
      <c r="L133" s="213"/>
      <c r="M133" s="213">
        <f t="shared" si="89"/>
        <v>0</v>
      </c>
      <c r="N133" s="207" t="s">
        <v>1076</v>
      </c>
      <c r="O133" s="231" t="s">
        <v>265</v>
      </c>
      <c r="P133" s="230">
        <v>9010.2099999999991</v>
      </c>
      <c r="Q133" s="230"/>
      <c r="R133" s="230"/>
      <c r="S133" s="213">
        <f t="shared" si="90"/>
        <v>9010.2099999999991</v>
      </c>
      <c r="T133" s="216"/>
      <c r="U133" s="207"/>
      <c r="V133" s="216"/>
      <c r="W133" s="216"/>
      <c r="X133" s="216"/>
      <c r="Y133" s="213">
        <f t="shared" si="91"/>
        <v>0</v>
      </c>
      <c r="Z133" s="222">
        <v>2020</v>
      </c>
      <c r="AA133" s="228"/>
      <c r="AB133" s="218"/>
      <c r="AC133" s="220"/>
      <c r="AD133" s="220"/>
      <c r="AE133" s="220" t="str">
        <f t="shared" si="92"/>
        <v>V</v>
      </c>
      <c r="AF133" s="229"/>
      <c r="AG133" s="220" t="str">
        <f t="shared" si="93"/>
        <v>2</v>
      </c>
      <c r="AH133" s="220" t="str">
        <f t="shared" si="94"/>
        <v>2</v>
      </c>
      <c r="AI133" s="220"/>
      <c r="AJ133" s="221" t="str">
        <f t="shared" si="95"/>
        <v>1</v>
      </c>
      <c r="AK133" s="220" t="str">
        <f t="shared" si="96"/>
        <v>2.2..1</v>
      </c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1" ht="16.5" customHeight="1" outlineLevel="2">
      <c r="A134" s="207">
        <f t="shared" si="86"/>
        <v>123</v>
      </c>
      <c r="B134" s="207">
        <v>8</v>
      </c>
      <c r="C134" s="245" t="s">
        <v>1289</v>
      </c>
      <c r="D134" s="209">
        <v>3391.9151384733791</v>
      </c>
      <c r="E134" s="504" t="s">
        <v>91</v>
      </c>
      <c r="F134" s="213">
        <f t="shared" si="97"/>
        <v>4675</v>
      </c>
      <c r="G134" s="207"/>
      <c r="H134" s="223">
        <f t="shared" si="88"/>
        <v>2012</v>
      </c>
      <c r="I134" s="212" t="s">
        <v>843</v>
      </c>
      <c r="J134" s="213"/>
      <c r="K134" s="213"/>
      <c r="L134" s="213"/>
      <c r="M134" s="213">
        <f t="shared" si="89"/>
        <v>0</v>
      </c>
      <c r="N134" s="207" t="s">
        <v>1076</v>
      </c>
      <c r="O134" s="231" t="s">
        <v>307</v>
      </c>
      <c r="P134" s="230">
        <v>4675</v>
      </c>
      <c r="Q134" s="230"/>
      <c r="R134" s="230">
        <v>4675</v>
      </c>
      <c r="S134" s="213">
        <f t="shared" si="90"/>
        <v>4675</v>
      </c>
      <c r="T134" s="216"/>
      <c r="U134" s="207"/>
      <c r="V134" s="216"/>
      <c r="W134" s="216"/>
      <c r="X134" s="216"/>
      <c r="Y134" s="213">
        <f t="shared" si="91"/>
        <v>0</v>
      </c>
      <c r="Z134" s="222" t="s">
        <v>1097</v>
      </c>
      <c r="AA134" s="228"/>
      <c r="AB134" s="218"/>
      <c r="AC134" s="220"/>
      <c r="AD134" s="220"/>
      <c r="AE134" s="220" t="str">
        <f t="shared" si="92"/>
        <v>V</v>
      </c>
      <c r="AF134" s="229" t="s">
        <v>1290</v>
      </c>
      <c r="AG134" s="220" t="str">
        <f t="shared" si="93"/>
        <v>2</v>
      </c>
      <c r="AH134" s="220" t="str">
        <f t="shared" si="94"/>
        <v>2</v>
      </c>
      <c r="AI134" s="220"/>
      <c r="AJ134" s="221" t="str">
        <f t="shared" si="95"/>
        <v>1</v>
      </c>
      <c r="AK134" s="220" t="str">
        <f t="shared" si="96"/>
        <v>2.2..1</v>
      </c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1" ht="16.5" customHeight="1" outlineLevel="2">
      <c r="A135" s="207">
        <f t="shared" si="86"/>
        <v>124</v>
      </c>
      <c r="B135" s="207">
        <v>9</v>
      </c>
      <c r="C135" s="245" t="s">
        <v>1291</v>
      </c>
      <c r="D135" s="209">
        <v>5062.4979163508151</v>
      </c>
      <c r="E135" s="504" t="s">
        <v>123</v>
      </c>
      <c r="F135" s="213">
        <f t="shared" si="97"/>
        <v>0</v>
      </c>
      <c r="G135" s="207"/>
      <c r="H135" s="223">
        <f t="shared" si="88"/>
        <v>2012</v>
      </c>
      <c r="I135" s="212" t="s">
        <v>223</v>
      </c>
      <c r="J135" s="213"/>
      <c r="K135" s="213"/>
      <c r="L135" s="213"/>
      <c r="M135" s="213">
        <f t="shared" si="89"/>
        <v>0</v>
      </c>
      <c r="N135" s="207"/>
      <c r="O135" s="231"/>
      <c r="P135" s="230"/>
      <c r="Q135" s="230"/>
      <c r="R135" s="230"/>
      <c r="S135" s="213">
        <f t="shared" si="90"/>
        <v>0</v>
      </c>
      <c r="T135" s="216"/>
      <c r="U135" s="207"/>
      <c r="V135" s="216"/>
      <c r="W135" s="216"/>
      <c r="X135" s="216"/>
      <c r="Y135" s="213">
        <f t="shared" si="91"/>
        <v>0</v>
      </c>
      <c r="Z135" s="222">
        <v>2023</v>
      </c>
      <c r="AA135" s="228" t="s">
        <v>1090</v>
      </c>
      <c r="AB135" s="218"/>
      <c r="AC135" s="220"/>
      <c r="AD135" s="220" t="s">
        <v>1292</v>
      </c>
      <c r="AE135" s="220" t="str">
        <f t="shared" si="92"/>
        <v/>
      </c>
      <c r="AF135" s="229"/>
      <c r="AG135" s="220" t="str">
        <f t="shared" si="93"/>
        <v>2</v>
      </c>
      <c r="AH135" s="220" t="str">
        <f t="shared" si="94"/>
        <v>2</v>
      </c>
      <c r="AI135" s="220"/>
      <c r="AJ135" s="221" t="str">
        <f t="shared" si="95"/>
        <v>2</v>
      </c>
      <c r="AK135" s="220" t="str">
        <f t="shared" si="96"/>
        <v>2.2..2</v>
      </c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1" ht="16.5" customHeight="1" outlineLevel="2">
      <c r="A136" s="207">
        <f t="shared" si="86"/>
        <v>125</v>
      </c>
      <c r="B136" s="207">
        <v>10</v>
      </c>
      <c r="C136" s="245" t="s">
        <v>1293</v>
      </c>
      <c r="D136" s="209">
        <v>8756.2320327696325</v>
      </c>
      <c r="E136" s="504" t="s">
        <v>123</v>
      </c>
      <c r="F136" s="213">
        <f t="shared" si="97"/>
        <v>0</v>
      </c>
      <c r="G136" s="207"/>
      <c r="H136" s="223">
        <f t="shared" si="88"/>
        <v>2012</v>
      </c>
      <c r="I136" s="212" t="s">
        <v>588</v>
      </c>
      <c r="J136" s="213"/>
      <c r="K136" s="213"/>
      <c r="L136" s="213"/>
      <c r="M136" s="213">
        <f t="shared" si="89"/>
        <v>0</v>
      </c>
      <c r="N136" s="207"/>
      <c r="O136" s="231"/>
      <c r="P136" s="230"/>
      <c r="Q136" s="230"/>
      <c r="R136" s="230"/>
      <c r="S136" s="213">
        <f t="shared" si="90"/>
        <v>0</v>
      </c>
      <c r="T136" s="216"/>
      <c r="U136" s="207"/>
      <c r="V136" s="216"/>
      <c r="W136" s="216"/>
      <c r="X136" s="216"/>
      <c r="Y136" s="213">
        <f t="shared" si="91"/>
        <v>0</v>
      </c>
      <c r="Z136" s="222">
        <v>2023</v>
      </c>
      <c r="AA136" s="228" t="s">
        <v>1090</v>
      </c>
      <c r="AB136" s="218"/>
      <c r="AC136" s="220"/>
      <c r="AD136" s="220" t="s">
        <v>1294</v>
      </c>
      <c r="AE136" s="220" t="str">
        <f t="shared" si="92"/>
        <v/>
      </c>
      <c r="AF136" s="229"/>
      <c r="AG136" s="220" t="str">
        <f t="shared" si="93"/>
        <v>2</v>
      </c>
      <c r="AH136" s="220" t="str">
        <f t="shared" si="94"/>
        <v>2</v>
      </c>
      <c r="AI136" s="220"/>
      <c r="AJ136" s="221" t="str">
        <f t="shared" si="95"/>
        <v>2</v>
      </c>
      <c r="AK136" s="220" t="str">
        <f t="shared" si="96"/>
        <v>2.2..2</v>
      </c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</row>
    <row r="137" spans="1:61" ht="16.5" customHeight="1" outlineLevel="1">
      <c r="A137" s="207"/>
      <c r="B137" s="235"/>
      <c r="C137" s="249" t="s">
        <v>1295</v>
      </c>
      <c r="D137" s="250">
        <f>SUM(D127:D136)</f>
        <v>50840.211425318106</v>
      </c>
      <c r="E137" s="238">
        <f>COUNTIF(E127:E136,"D") + COUNTIF(E127:E136,"DS")</f>
        <v>7</v>
      </c>
      <c r="F137" s="254">
        <f>SUBTOTAL(9,F127:F136)</f>
        <v>35350.21</v>
      </c>
      <c r="G137" s="201">
        <f>COUNTIF(G120:G136,$G$95)</f>
        <v>3</v>
      </c>
      <c r="H137" s="240"/>
      <c r="I137" s="264"/>
      <c r="J137" s="254">
        <f>SUBTOTAL(9,J127:J136)</f>
        <v>8689.59</v>
      </c>
      <c r="K137" s="254">
        <f t="shared" ref="K137:M137" si="98">SUBTOTAL(9,K128:K133)</f>
        <v>0</v>
      </c>
      <c r="L137" s="254">
        <f t="shared" si="98"/>
        <v>11043.59</v>
      </c>
      <c r="M137" s="254">
        <f t="shared" si="98"/>
        <v>11043.59</v>
      </c>
      <c r="N137" s="201"/>
      <c r="O137" s="236"/>
      <c r="P137" s="255">
        <v>22016.48</v>
      </c>
      <c r="Q137" s="255">
        <v>1891.92</v>
      </c>
      <c r="R137" s="255">
        <v>6615</v>
      </c>
      <c r="S137" s="254">
        <f>SUBTOTAL(9,S128:S133)</f>
        <v>22016.48</v>
      </c>
      <c r="T137" s="203">
        <v>2</v>
      </c>
      <c r="U137" s="201">
        <v>2</v>
      </c>
      <c r="V137" s="203">
        <v>22016.48</v>
      </c>
      <c r="W137" s="203">
        <v>1891.92</v>
      </c>
      <c r="X137" s="203">
        <v>6615</v>
      </c>
      <c r="Y137" s="254">
        <f>SUBTOTAL(9,Y128:Y133)</f>
        <v>6305</v>
      </c>
      <c r="Z137" s="243" t="s">
        <v>1138</v>
      </c>
      <c r="AA137" s="228"/>
      <c r="AB137" s="218"/>
      <c r="AC137" s="220"/>
      <c r="AD137" s="220"/>
      <c r="AE137" s="244">
        <f>COUNTIF(AE127:AE136,"V") + COUNTIF(AE127:AE136,"VV") + COUNTIF(AE127:AE136,"VVV")</f>
        <v>6</v>
      </c>
      <c r="AF137" s="229"/>
      <c r="AG137" s="220"/>
      <c r="AH137" s="220"/>
      <c r="AI137" s="220"/>
      <c r="AJ137" s="221"/>
      <c r="AK137" s="220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</row>
    <row r="138" spans="1:61" ht="16.5" customHeight="1" outlineLevel="2">
      <c r="A138" s="207">
        <f t="shared" ref="A138:A152" si="99">SUBTOTAL(3,$B$6:B138)</f>
        <v>126</v>
      </c>
      <c r="B138" s="207">
        <v>1</v>
      </c>
      <c r="C138" s="268" t="s">
        <v>1296</v>
      </c>
      <c r="D138" s="269">
        <v>619.32000000000005</v>
      </c>
      <c r="E138" s="504" t="s">
        <v>91</v>
      </c>
      <c r="F138" s="213">
        <f t="shared" ref="F138:F139" si="100">IF(M138&gt;0,M138,IF(S138&gt;0,S138,IF(Y138&gt;0,Y138,0)))</f>
        <v>186</v>
      </c>
      <c r="G138" s="222" t="s">
        <v>1076</v>
      </c>
      <c r="H138" s="270">
        <f t="shared" ref="H138:H152" si="101">VALUE(RIGHT(I138,4))</f>
        <v>2021</v>
      </c>
      <c r="I138" s="268" t="s">
        <v>218</v>
      </c>
      <c r="J138" s="269" t="s">
        <v>1032</v>
      </c>
      <c r="K138" s="269" t="s">
        <v>1032</v>
      </c>
      <c r="L138" s="269">
        <v>186</v>
      </c>
      <c r="M138" s="213">
        <f t="shared" ref="M138:M152" si="102">IF(L138&gt;0,L138,IF(J138&gt;0,J138,0))</f>
        <v>186</v>
      </c>
      <c r="N138" s="222"/>
      <c r="O138" s="271" t="s">
        <v>1032</v>
      </c>
      <c r="P138" s="269" t="s">
        <v>1032</v>
      </c>
      <c r="Q138" s="269" t="s">
        <v>1032</v>
      </c>
      <c r="R138" s="269" t="s">
        <v>1032</v>
      </c>
      <c r="S138" s="213" t="str">
        <f t="shared" ref="S138:S152" si="103">IF(R138&gt;0,R138,IF(P138&gt;0,P138,0))</f>
        <v>-</v>
      </c>
      <c r="T138" s="228"/>
      <c r="U138" s="222" t="s">
        <v>1297</v>
      </c>
      <c r="V138" s="272">
        <v>409</v>
      </c>
      <c r="W138" s="272" t="s">
        <v>1032</v>
      </c>
      <c r="X138" s="228">
        <v>409</v>
      </c>
      <c r="Y138" s="213">
        <f t="shared" ref="Y138:Y152" si="104">IF(X138&gt;0,X138,IF(V138&gt;0,V138,0))</f>
        <v>409</v>
      </c>
      <c r="Z138" s="222">
        <v>2020</v>
      </c>
      <c r="AA138" s="228"/>
      <c r="AB138" s="273"/>
      <c r="AC138" s="268"/>
      <c r="AD138" s="268"/>
      <c r="AE138" s="220" t="str">
        <f t="shared" ref="AE138:AE152" si="105">CONCATENATE(G138,N138,T138)</f>
        <v>V</v>
      </c>
      <c r="AF138" s="274"/>
      <c r="AG138" s="220" t="str">
        <f t="shared" ref="AG138:AG152" si="106">IF(H138=0,"3",IF(H138&lt;=2018,"2","1"))</f>
        <v>1</v>
      </c>
      <c r="AH138" s="220" t="str">
        <f t="shared" ref="AH138:AH152" si="107">IF(M138&gt;0,"1","2")</f>
        <v>1</v>
      </c>
      <c r="AI138" s="220"/>
      <c r="AJ138" s="221" t="str">
        <f t="shared" ref="AJ138:AJ152" si="108">IF(S138&gt;0,"1",IF(Y138&gt;0,"1","2"))</f>
        <v>1</v>
      </c>
      <c r="AK138" s="220" t="str">
        <f t="shared" ref="AK138:AK152" si="109">CONCATENATE(AG138,".",AH138,".",AI138,".",AJ138)</f>
        <v>1.1..1</v>
      </c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</row>
    <row r="139" spans="1:61" ht="16.5" customHeight="1" outlineLevel="2">
      <c r="A139" s="207">
        <f t="shared" si="99"/>
        <v>127</v>
      </c>
      <c r="B139" s="207">
        <v>2</v>
      </c>
      <c r="C139" s="268" t="s">
        <v>1298</v>
      </c>
      <c r="D139" s="269">
        <v>2947.9</v>
      </c>
      <c r="E139" s="504" t="s">
        <v>91</v>
      </c>
      <c r="F139" s="213">
        <f t="shared" si="100"/>
        <v>1568</v>
      </c>
      <c r="G139" s="222" t="s">
        <v>1076</v>
      </c>
      <c r="H139" s="270">
        <f t="shared" si="101"/>
        <v>2022</v>
      </c>
      <c r="I139" s="268" t="s">
        <v>220</v>
      </c>
      <c r="J139" s="269" t="s">
        <v>1032</v>
      </c>
      <c r="K139" s="269" t="s">
        <v>1032</v>
      </c>
      <c r="L139" s="269">
        <v>1568</v>
      </c>
      <c r="M139" s="213">
        <f t="shared" si="102"/>
        <v>1568</v>
      </c>
      <c r="N139" s="222" t="s">
        <v>1076</v>
      </c>
      <c r="O139" s="271" t="s">
        <v>1299</v>
      </c>
      <c r="P139" s="269">
        <v>1567.5</v>
      </c>
      <c r="Q139" s="269" t="s">
        <v>1032</v>
      </c>
      <c r="R139" s="269">
        <v>1567.5</v>
      </c>
      <c r="S139" s="213">
        <f t="shared" si="103"/>
        <v>1567.5</v>
      </c>
      <c r="T139" s="228"/>
      <c r="U139" s="222"/>
      <c r="V139" s="272"/>
      <c r="W139" s="272"/>
      <c r="X139" s="228"/>
      <c r="Y139" s="213">
        <f t="shared" si="104"/>
        <v>0</v>
      </c>
      <c r="Z139" s="222" t="s">
        <v>1097</v>
      </c>
      <c r="AA139" s="228"/>
      <c r="AB139" s="273"/>
      <c r="AC139" s="268"/>
      <c r="AD139" s="268"/>
      <c r="AE139" s="220" t="str">
        <f t="shared" si="105"/>
        <v>VV</v>
      </c>
      <c r="AF139" s="509"/>
      <c r="AG139" s="220" t="str">
        <f t="shared" si="106"/>
        <v>1</v>
      </c>
      <c r="AH139" s="220" t="str">
        <f t="shared" si="107"/>
        <v>1</v>
      </c>
      <c r="AI139" s="220"/>
      <c r="AJ139" s="221" t="str">
        <f t="shared" si="108"/>
        <v>1</v>
      </c>
      <c r="AK139" s="220" t="str">
        <f t="shared" si="109"/>
        <v>1.1..1</v>
      </c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</row>
    <row r="140" spans="1:61" ht="16.5" customHeight="1" outlineLevel="2">
      <c r="A140" s="207">
        <f t="shared" si="99"/>
        <v>128</v>
      </c>
      <c r="B140" s="207">
        <v>3</v>
      </c>
      <c r="C140" s="268" t="s">
        <v>1300</v>
      </c>
      <c r="D140" s="269">
        <v>10464.65</v>
      </c>
      <c r="E140" s="504" t="s">
        <v>91</v>
      </c>
      <c r="F140" s="213">
        <f t="shared" ref="F140:F141" si="110">S140</f>
        <v>10181.530000000001</v>
      </c>
      <c r="G140" s="222"/>
      <c r="H140" s="270">
        <f t="shared" si="101"/>
        <v>2012</v>
      </c>
      <c r="I140" s="268" t="s">
        <v>315</v>
      </c>
      <c r="J140" s="269" t="s">
        <v>1032</v>
      </c>
      <c r="K140" s="269" t="s">
        <v>1032</v>
      </c>
      <c r="L140" s="269" t="s">
        <v>1032</v>
      </c>
      <c r="M140" s="213" t="str">
        <f t="shared" si="102"/>
        <v>-</v>
      </c>
      <c r="N140" s="222" t="s">
        <v>1076</v>
      </c>
      <c r="O140" s="271" t="s">
        <v>265</v>
      </c>
      <c r="P140" s="269">
        <v>8167.2</v>
      </c>
      <c r="Q140" s="269">
        <v>2014.33</v>
      </c>
      <c r="R140" s="269">
        <v>10181.530000000001</v>
      </c>
      <c r="S140" s="213">
        <f t="shared" si="103"/>
        <v>10181.530000000001</v>
      </c>
      <c r="T140" s="228"/>
      <c r="U140" s="222"/>
      <c r="V140" s="272"/>
      <c r="W140" s="272"/>
      <c r="X140" s="228"/>
      <c r="Y140" s="213">
        <f t="shared" si="104"/>
        <v>0</v>
      </c>
      <c r="Z140" s="222">
        <v>2020</v>
      </c>
      <c r="AA140" s="228"/>
      <c r="AB140" s="273"/>
      <c r="AC140" s="268"/>
      <c r="AD140" s="268"/>
      <c r="AE140" s="220" t="str">
        <f t="shared" si="105"/>
        <v>V</v>
      </c>
      <c r="AF140" s="509"/>
      <c r="AG140" s="220" t="str">
        <f t="shared" si="106"/>
        <v>2</v>
      </c>
      <c r="AH140" s="220" t="str">
        <f t="shared" si="107"/>
        <v>1</v>
      </c>
      <c r="AI140" s="220"/>
      <c r="AJ140" s="221" t="str">
        <f t="shared" si="108"/>
        <v>1</v>
      </c>
      <c r="AK140" s="220" t="str">
        <f t="shared" si="109"/>
        <v>2.1..1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</row>
    <row r="141" spans="1:61" ht="16.5" customHeight="1" outlineLevel="2">
      <c r="A141" s="207">
        <f t="shared" si="99"/>
        <v>129</v>
      </c>
      <c r="B141" s="207">
        <v>4</v>
      </c>
      <c r="C141" s="268" t="s">
        <v>1301</v>
      </c>
      <c r="D141" s="269">
        <v>38687.99</v>
      </c>
      <c r="E141" s="504" t="s">
        <v>91</v>
      </c>
      <c r="F141" s="213">
        <f t="shared" si="110"/>
        <v>41575</v>
      </c>
      <c r="G141" s="222"/>
      <c r="H141" s="270">
        <f t="shared" si="101"/>
        <v>2012</v>
      </c>
      <c r="I141" s="268" t="s">
        <v>1256</v>
      </c>
      <c r="J141" s="269">
        <v>121825</v>
      </c>
      <c r="K141" s="269" t="s">
        <v>1032</v>
      </c>
      <c r="L141" s="269">
        <v>121825</v>
      </c>
      <c r="M141" s="213">
        <f t="shared" si="102"/>
        <v>121825</v>
      </c>
      <c r="N141" s="222" t="s">
        <v>1076</v>
      </c>
      <c r="O141" s="271" t="s">
        <v>359</v>
      </c>
      <c r="P141" s="269">
        <v>36052</v>
      </c>
      <c r="Q141" s="269">
        <v>5523</v>
      </c>
      <c r="R141" s="269">
        <v>41575</v>
      </c>
      <c r="S141" s="213">
        <f t="shared" si="103"/>
        <v>41575</v>
      </c>
      <c r="T141" s="228"/>
      <c r="U141" s="222"/>
      <c r="V141" s="272"/>
      <c r="W141" s="272"/>
      <c r="X141" s="228"/>
      <c r="Y141" s="213">
        <f t="shared" si="104"/>
        <v>0</v>
      </c>
      <c r="Z141" s="222">
        <v>2020</v>
      </c>
      <c r="AA141" s="228"/>
      <c r="AB141" s="273"/>
      <c r="AC141" s="268"/>
      <c r="AD141" s="268"/>
      <c r="AE141" s="220" t="str">
        <f t="shared" si="105"/>
        <v>V</v>
      </c>
      <c r="AF141" s="509"/>
      <c r="AG141" s="220" t="str">
        <f t="shared" si="106"/>
        <v>2</v>
      </c>
      <c r="AH141" s="220" t="str">
        <f t="shared" si="107"/>
        <v>1</v>
      </c>
      <c r="AI141" s="220"/>
      <c r="AJ141" s="221" t="str">
        <f t="shared" si="108"/>
        <v>1</v>
      </c>
      <c r="AK141" s="220" t="str">
        <f t="shared" si="109"/>
        <v>2.1..1</v>
      </c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</row>
    <row r="142" spans="1:61" ht="16.5" customHeight="1" outlineLevel="2">
      <c r="A142" s="207">
        <f t="shared" si="99"/>
        <v>130</v>
      </c>
      <c r="B142" s="207">
        <v>5</v>
      </c>
      <c r="C142" s="268" t="s">
        <v>1302</v>
      </c>
      <c r="D142" s="269">
        <v>79664.17</v>
      </c>
      <c r="E142" s="504" t="s">
        <v>104</v>
      </c>
      <c r="F142" s="213">
        <f>IF(M142&gt;0,M142,IF(S142&gt;0,S142,IF(Y142&gt;0,Y142,0)))</f>
        <v>142755</v>
      </c>
      <c r="G142" s="222"/>
      <c r="H142" s="270">
        <f t="shared" si="101"/>
        <v>2012</v>
      </c>
      <c r="I142" s="268" t="s">
        <v>315</v>
      </c>
      <c r="J142" s="269">
        <v>142755</v>
      </c>
      <c r="K142" s="269" t="s">
        <v>1032</v>
      </c>
      <c r="L142" s="269">
        <v>142755</v>
      </c>
      <c r="M142" s="213">
        <f t="shared" si="102"/>
        <v>142755</v>
      </c>
      <c r="N142" s="222"/>
      <c r="O142" s="271" t="s">
        <v>729</v>
      </c>
      <c r="P142" s="269">
        <v>53206</v>
      </c>
      <c r="Q142" s="269">
        <v>18585</v>
      </c>
      <c r="R142" s="269">
        <v>71791</v>
      </c>
      <c r="S142" s="213">
        <f t="shared" si="103"/>
        <v>71791</v>
      </c>
      <c r="T142" s="228"/>
      <c r="U142" s="222"/>
      <c r="V142" s="272"/>
      <c r="W142" s="272"/>
      <c r="X142" s="228"/>
      <c r="Y142" s="213">
        <f t="shared" si="104"/>
        <v>0</v>
      </c>
      <c r="Z142" s="222" t="s">
        <v>1097</v>
      </c>
      <c r="AA142" s="228"/>
      <c r="AB142" s="273"/>
      <c r="AC142" s="268"/>
      <c r="AD142" s="268"/>
      <c r="AE142" s="220" t="str">
        <f t="shared" si="105"/>
        <v/>
      </c>
      <c r="AF142" s="509"/>
      <c r="AG142" s="220" t="str">
        <f t="shared" si="106"/>
        <v>2</v>
      </c>
      <c r="AH142" s="220" t="str">
        <f t="shared" si="107"/>
        <v>1</v>
      </c>
      <c r="AI142" s="220"/>
      <c r="AJ142" s="221" t="str">
        <f t="shared" si="108"/>
        <v>1</v>
      </c>
      <c r="AK142" s="220" t="str">
        <f t="shared" si="109"/>
        <v>2.1..1</v>
      </c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</row>
    <row r="143" spans="1:61" ht="16.5" customHeight="1" outlineLevel="2">
      <c r="A143" s="207">
        <f t="shared" si="99"/>
        <v>131</v>
      </c>
      <c r="B143" s="207">
        <v>6</v>
      </c>
      <c r="C143" s="268" t="s">
        <v>1303</v>
      </c>
      <c r="D143" s="269">
        <v>58592.13</v>
      </c>
      <c r="E143" s="504" t="s">
        <v>91</v>
      </c>
      <c r="F143" s="213">
        <f t="shared" ref="F143:F145" si="111">Y143</f>
        <v>59173.24</v>
      </c>
      <c r="G143" s="222"/>
      <c r="H143" s="270">
        <f t="shared" si="101"/>
        <v>2012</v>
      </c>
      <c r="I143" s="268" t="s">
        <v>432</v>
      </c>
      <c r="J143" s="269">
        <v>50553</v>
      </c>
      <c r="K143" s="269" t="s">
        <v>1032</v>
      </c>
      <c r="L143" s="269">
        <v>50553</v>
      </c>
      <c r="M143" s="213">
        <f t="shared" si="102"/>
        <v>50553</v>
      </c>
      <c r="N143" s="222"/>
      <c r="O143" s="271" t="s">
        <v>175</v>
      </c>
      <c r="P143" s="269">
        <v>50553</v>
      </c>
      <c r="Q143" s="269" t="s">
        <v>1032</v>
      </c>
      <c r="R143" s="269">
        <v>50553</v>
      </c>
      <c r="S143" s="213">
        <f t="shared" si="103"/>
        <v>50553</v>
      </c>
      <c r="T143" s="228" t="s">
        <v>1076</v>
      </c>
      <c r="U143" s="510" t="s">
        <v>363</v>
      </c>
      <c r="V143" s="272">
        <v>59173.24</v>
      </c>
      <c r="W143" s="272"/>
      <c r="X143" s="228"/>
      <c r="Y143" s="213">
        <f t="shared" si="104"/>
        <v>59173.24</v>
      </c>
      <c r="Z143" s="222">
        <v>2022</v>
      </c>
      <c r="AA143" s="228"/>
      <c r="AB143" s="273"/>
      <c r="AC143" s="268"/>
      <c r="AD143" s="268"/>
      <c r="AE143" s="220" t="str">
        <f t="shared" si="105"/>
        <v>V</v>
      </c>
      <c r="AF143" s="509"/>
      <c r="AG143" s="220" t="str">
        <f t="shared" si="106"/>
        <v>2</v>
      </c>
      <c r="AH143" s="220" t="str">
        <f t="shared" si="107"/>
        <v>1</v>
      </c>
      <c r="AI143" s="220"/>
      <c r="AJ143" s="221" t="str">
        <f t="shared" si="108"/>
        <v>1</v>
      </c>
      <c r="AK143" s="220" t="str">
        <f t="shared" si="109"/>
        <v>2.1..1</v>
      </c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spans="1:61" ht="16.5" customHeight="1" outlineLevel="2">
      <c r="A144" s="207">
        <f t="shared" si="99"/>
        <v>132</v>
      </c>
      <c r="B144" s="207">
        <v>7</v>
      </c>
      <c r="C144" s="268" t="s">
        <v>1304</v>
      </c>
      <c r="D144" s="269">
        <v>14972.92</v>
      </c>
      <c r="E144" s="504" t="s">
        <v>91</v>
      </c>
      <c r="F144" s="213">
        <f t="shared" si="111"/>
        <v>14282.55</v>
      </c>
      <c r="G144" s="222"/>
      <c r="H144" s="270">
        <f t="shared" si="101"/>
        <v>2014</v>
      </c>
      <c r="I144" s="268" t="s">
        <v>285</v>
      </c>
      <c r="J144" s="269" t="s">
        <v>1032</v>
      </c>
      <c r="K144" s="269" t="s">
        <v>1032</v>
      </c>
      <c r="L144" s="269" t="s">
        <v>1032</v>
      </c>
      <c r="M144" s="213" t="str">
        <f t="shared" si="102"/>
        <v>-</v>
      </c>
      <c r="N144" s="222"/>
      <c r="O144" s="271" t="s">
        <v>175</v>
      </c>
      <c r="P144" s="269">
        <v>18870</v>
      </c>
      <c r="Q144" s="269" t="s">
        <v>1032</v>
      </c>
      <c r="R144" s="269">
        <v>18870</v>
      </c>
      <c r="S144" s="213">
        <f t="shared" si="103"/>
        <v>18870</v>
      </c>
      <c r="T144" s="228" t="s">
        <v>1076</v>
      </c>
      <c r="U144" s="507" t="s">
        <v>365</v>
      </c>
      <c r="V144" s="275">
        <v>14282.55</v>
      </c>
      <c r="W144" s="272"/>
      <c r="X144" s="228"/>
      <c r="Y144" s="213">
        <f t="shared" si="104"/>
        <v>14282.55</v>
      </c>
      <c r="Z144" s="222">
        <v>2022</v>
      </c>
      <c r="AA144" s="228"/>
      <c r="AB144" s="273"/>
      <c r="AC144" s="268"/>
      <c r="AD144" s="268"/>
      <c r="AE144" s="220" t="str">
        <f t="shared" si="105"/>
        <v>V</v>
      </c>
      <c r="AF144" s="509"/>
      <c r="AG144" s="220" t="str">
        <f t="shared" si="106"/>
        <v>2</v>
      </c>
      <c r="AH144" s="220" t="str">
        <f t="shared" si="107"/>
        <v>1</v>
      </c>
      <c r="AI144" s="220"/>
      <c r="AJ144" s="221" t="str">
        <f t="shared" si="108"/>
        <v>1</v>
      </c>
      <c r="AK144" s="220" t="str">
        <f t="shared" si="109"/>
        <v>2.1..1</v>
      </c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</row>
    <row r="145" spans="1:61" ht="16.5" customHeight="1" outlineLevel="2">
      <c r="A145" s="207">
        <f t="shared" si="99"/>
        <v>133</v>
      </c>
      <c r="B145" s="207">
        <v>8</v>
      </c>
      <c r="C145" s="268" t="s">
        <v>1305</v>
      </c>
      <c r="D145" s="269">
        <v>30611.07</v>
      </c>
      <c r="E145" s="504" t="s">
        <v>91</v>
      </c>
      <c r="F145" s="213">
        <f t="shared" si="111"/>
        <v>25056.720000000001</v>
      </c>
      <c r="G145" s="222"/>
      <c r="H145" s="270">
        <f t="shared" si="101"/>
        <v>2012</v>
      </c>
      <c r="I145" s="268" t="s">
        <v>1306</v>
      </c>
      <c r="J145" s="269">
        <v>13169</v>
      </c>
      <c r="K145" s="269" t="s">
        <v>1032</v>
      </c>
      <c r="L145" s="269">
        <v>13169</v>
      </c>
      <c r="M145" s="213">
        <f t="shared" si="102"/>
        <v>13169</v>
      </c>
      <c r="N145" s="222"/>
      <c r="O145" s="271" t="s">
        <v>1307</v>
      </c>
      <c r="P145" s="269">
        <v>25153</v>
      </c>
      <c r="Q145" s="269">
        <v>5418</v>
      </c>
      <c r="R145" s="269">
        <v>30571</v>
      </c>
      <c r="S145" s="213">
        <f t="shared" si="103"/>
        <v>30571</v>
      </c>
      <c r="T145" s="228" t="s">
        <v>1076</v>
      </c>
      <c r="U145" s="511" t="s">
        <v>367</v>
      </c>
      <c r="V145" s="272">
        <v>25056.720000000001</v>
      </c>
      <c r="W145" s="272">
        <v>4110.3599999999997</v>
      </c>
      <c r="X145" s="228"/>
      <c r="Y145" s="213">
        <f t="shared" si="104"/>
        <v>25056.720000000001</v>
      </c>
      <c r="Z145" s="222">
        <v>2022</v>
      </c>
      <c r="AA145" s="228"/>
      <c r="AB145" s="273"/>
      <c r="AC145" s="268"/>
      <c r="AD145" s="268"/>
      <c r="AE145" s="220" t="str">
        <f t="shared" si="105"/>
        <v>V</v>
      </c>
      <c r="AF145" s="509"/>
      <c r="AG145" s="220" t="str">
        <f t="shared" si="106"/>
        <v>2</v>
      </c>
      <c r="AH145" s="220" t="str">
        <f t="shared" si="107"/>
        <v>1</v>
      </c>
      <c r="AI145" s="220"/>
      <c r="AJ145" s="221" t="str">
        <f t="shared" si="108"/>
        <v>1</v>
      </c>
      <c r="AK145" s="220" t="str">
        <f t="shared" si="109"/>
        <v>2.1..1</v>
      </c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</row>
    <row r="146" spans="1:61" ht="16.5" customHeight="1" outlineLevel="2">
      <c r="A146" s="207">
        <f t="shared" si="99"/>
        <v>134</v>
      </c>
      <c r="B146" s="207">
        <v>9</v>
      </c>
      <c r="C146" s="268" t="s">
        <v>1308</v>
      </c>
      <c r="D146" s="269">
        <v>13304.54</v>
      </c>
      <c r="E146" s="504" t="s">
        <v>91</v>
      </c>
      <c r="F146" s="213">
        <f>IF(M146&gt;0,M146,IF(S146&gt;0,S146,IF(Y146&gt;0,Y146,0)))</f>
        <v>13847</v>
      </c>
      <c r="G146" s="222" t="s">
        <v>1076</v>
      </c>
      <c r="H146" s="270">
        <f t="shared" si="101"/>
        <v>2019</v>
      </c>
      <c r="I146" s="268" t="s">
        <v>311</v>
      </c>
      <c r="J146" s="269">
        <v>13847</v>
      </c>
      <c r="K146" s="269" t="s">
        <v>1032</v>
      </c>
      <c r="L146" s="269">
        <v>13847</v>
      </c>
      <c r="M146" s="213">
        <f t="shared" si="102"/>
        <v>13847</v>
      </c>
      <c r="N146" s="222" t="s">
        <v>1076</v>
      </c>
      <c r="O146" s="271" t="s">
        <v>470</v>
      </c>
      <c r="P146" s="269">
        <v>8452</v>
      </c>
      <c r="Q146" s="269" t="s">
        <v>1032</v>
      </c>
      <c r="R146" s="269">
        <v>8452</v>
      </c>
      <c r="S146" s="213">
        <f t="shared" si="103"/>
        <v>8452</v>
      </c>
      <c r="T146" s="228"/>
      <c r="U146" s="222"/>
      <c r="V146" s="272"/>
      <c r="W146" s="272"/>
      <c r="X146" s="228"/>
      <c r="Y146" s="213">
        <f t="shared" si="104"/>
        <v>0</v>
      </c>
      <c r="Z146" s="222">
        <v>2020</v>
      </c>
      <c r="AA146" s="228"/>
      <c r="AB146" s="273"/>
      <c r="AC146" s="268"/>
      <c r="AD146" s="268"/>
      <c r="AE146" s="220" t="str">
        <f t="shared" si="105"/>
        <v>VV</v>
      </c>
      <c r="AF146" s="509"/>
      <c r="AG146" s="220" t="str">
        <f t="shared" si="106"/>
        <v>1</v>
      </c>
      <c r="AH146" s="220" t="str">
        <f t="shared" si="107"/>
        <v>1</v>
      </c>
      <c r="AI146" s="220"/>
      <c r="AJ146" s="221" t="str">
        <f t="shared" si="108"/>
        <v>1</v>
      </c>
      <c r="AK146" s="220" t="str">
        <f t="shared" si="109"/>
        <v>1.1..1</v>
      </c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</row>
    <row r="147" spans="1:61" ht="16.5" customHeight="1" outlineLevel="2">
      <c r="A147" s="207">
        <f t="shared" si="99"/>
        <v>135</v>
      </c>
      <c r="B147" s="207">
        <v>10</v>
      </c>
      <c r="C147" s="268" t="s">
        <v>1309</v>
      </c>
      <c r="D147" s="269">
        <v>8587.7000000000007</v>
      </c>
      <c r="E147" s="504" t="s">
        <v>91</v>
      </c>
      <c r="F147" s="213">
        <f>Y147</f>
        <v>8341.2690000000002</v>
      </c>
      <c r="G147" s="222"/>
      <c r="H147" s="270">
        <f t="shared" si="101"/>
        <v>2017</v>
      </c>
      <c r="I147" s="268" t="s">
        <v>1310</v>
      </c>
      <c r="J147" s="269" t="s">
        <v>1032</v>
      </c>
      <c r="K147" s="269" t="s">
        <v>1032</v>
      </c>
      <c r="L147" s="269" t="s">
        <v>1032</v>
      </c>
      <c r="M147" s="213" t="str">
        <f t="shared" si="102"/>
        <v>-</v>
      </c>
      <c r="N147" s="222"/>
      <c r="O147" s="271" t="s">
        <v>311</v>
      </c>
      <c r="P147" s="269" t="s">
        <v>1032</v>
      </c>
      <c r="Q147" s="269" t="s">
        <v>1032</v>
      </c>
      <c r="R147" s="269" t="s">
        <v>1032</v>
      </c>
      <c r="S147" s="213" t="str">
        <f t="shared" si="103"/>
        <v>-</v>
      </c>
      <c r="T147" s="228" t="s">
        <v>1076</v>
      </c>
      <c r="U147" s="507" t="s">
        <v>1311</v>
      </c>
      <c r="V147" s="276">
        <v>8341.2690000000002</v>
      </c>
      <c r="W147" s="277">
        <v>1161.9359999999999</v>
      </c>
      <c r="X147" s="228"/>
      <c r="Y147" s="213">
        <f t="shared" si="104"/>
        <v>8341.2690000000002</v>
      </c>
      <c r="Z147" s="222">
        <v>2022</v>
      </c>
      <c r="AA147" s="228"/>
      <c r="AB147" s="273"/>
      <c r="AC147" s="268"/>
      <c r="AD147" s="268"/>
      <c r="AE147" s="220" t="str">
        <f t="shared" si="105"/>
        <v>V</v>
      </c>
      <c r="AF147" s="509"/>
      <c r="AG147" s="220" t="str">
        <f t="shared" si="106"/>
        <v>2</v>
      </c>
      <c r="AH147" s="220" t="str">
        <f t="shared" si="107"/>
        <v>1</v>
      </c>
      <c r="AI147" s="220"/>
      <c r="AJ147" s="221" t="str">
        <f t="shared" si="108"/>
        <v>1</v>
      </c>
      <c r="AK147" s="220" t="str">
        <f t="shared" si="109"/>
        <v>2.1..1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1" ht="16.5" customHeight="1" outlineLevel="2">
      <c r="A148" s="207">
        <f t="shared" si="99"/>
        <v>136</v>
      </c>
      <c r="B148" s="207">
        <v>11</v>
      </c>
      <c r="C148" s="268" t="s">
        <v>1312</v>
      </c>
      <c r="D148" s="269">
        <v>13928.26</v>
      </c>
      <c r="E148" s="504" t="s">
        <v>104</v>
      </c>
      <c r="F148" s="213">
        <f>IF(M148&gt;0,M148,IF(S148&gt;0,S148,IF(Y148&gt;0,Y148,0)))</f>
        <v>6494</v>
      </c>
      <c r="G148" s="222"/>
      <c r="H148" s="270">
        <f t="shared" si="101"/>
        <v>2012</v>
      </c>
      <c r="I148" s="268" t="s">
        <v>588</v>
      </c>
      <c r="J148" s="269">
        <v>6494</v>
      </c>
      <c r="K148" s="269" t="s">
        <v>1032</v>
      </c>
      <c r="L148" s="269">
        <v>6494</v>
      </c>
      <c r="M148" s="213">
        <f t="shared" si="102"/>
        <v>6494</v>
      </c>
      <c r="N148" s="222"/>
      <c r="O148" s="271" t="s">
        <v>372</v>
      </c>
      <c r="P148" s="269">
        <v>8145</v>
      </c>
      <c r="Q148" s="269" t="s">
        <v>1032</v>
      </c>
      <c r="R148" s="269">
        <v>8145</v>
      </c>
      <c r="S148" s="213">
        <f t="shared" si="103"/>
        <v>8145</v>
      </c>
      <c r="T148" s="228"/>
      <c r="U148" s="222"/>
      <c r="V148" s="272"/>
      <c r="W148" s="272"/>
      <c r="X148" s="228"/>
      <c r="Y148" s="213">
        <f t="shared" si="104"/>
        <v>0</v>
      </c>
      <c r="Z148" s="222">
        <v>2023</v>
      </c>
      <c r="AA148" s="228" t="s">
        <v>1160</v>
      </c>
      <c r="AB148" s="273"/>
      <c r="AC148" s="268"/>
      <c r="AD148" s="268"/>
      <c r="AE148" s="220" t="str">
        <f t="shared" si="105"/>
        <v/>
      </c>
      <c r="AF148" s="509"/>
      <c r="AG148" s="220" t="str">
        <f t="shared" si="106"/>
        <v>2</v>
      </c>
      <c r="AH148" s="220" t="str">
        <f t="shared" si="107"/>
        <v>1</v>
      </c>
      <c r="AI148" s="220"/>
      <c r="AJ148" s="221" t="str">
        <f t="shared" si="108"/>
        <v>1</v>
      </c>
      <c r="AK148" s="220" t="str">
        <f t="shared" si="109"/>
        <v>2.1..1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1" ht="16.5" customHeight="1" outlineLevel="2">
      <c r="A149" s="207">
        <f t="shared" si="99"/>
        <v>137</v>
      </c>
      <c r="B149" s="207">
        <v>12</v>
      </c>
      <c r="C149" s="268" t="s">
        <v>1313</v>
      </c>
      <c r="D149" s="269">
        <v>16842.669999999998</v>
      </c>
      <c r="E149" s="504" t="s">
        <v>91</v>
      </c>
      <c r="F149" s="213">
        <f>Y149</f>
        <v>16331.65</v>
      </c>
      <c r="G149" s="222"/>
      <c r="H149" s="270">
        <f t="shared" si="101"/>
        <v>2011</v>
      </c>
      <c r="I149" s="268" t="s">
        <v>1314</v>
      </c>
      <c r="J149" s="269">
        <v>20000</v>
      </c>
      <c r="K149" s="269" t="s">
        <v>1032</v>
      </c>
      <c r="L149" s="269">
        <v>20000</v>
      </c>
      <c r="M149" s="213">
        <f t="shared" si="102"/>
        <v>20000</v>
      </c>
      <c r="N149" s="222"/>
      <c r="O149" s="271" t="s">
        <v>1315</v>
      </c>
      <c r="P149" s="269">
        <v>18690</v>
      </c>
      <c r="Q149" s="269">
        <v>4390</v>
      </c>
      <c r="R149" s="269">
        <v>23080</v>
      </c>
      <c r="S149" s="213">
        <f t="shared" si="103"/>
        <v>23080</v>
      </c>
      <c r="T149" s="228" t="s">
        <v>1076</v>
      </c>
      <c r="U149" s="511" t="s">
        <v>374</v>
      </c>
      <c r="V149" s="272">
        <v>16331.65</v>
      </c>
      <c r="W149" s="272">
        <v>1436.12</v>
      </c>
      <c r="X149" s="228"/>
      <c r="Y149" s="213">
        <f t="shared" si="104"/>
        <v>16331.65</v>
      </c>
      <c r="Z149" s="222">
        <v>2022</v>
      </c>
      <c r="AA149" s="228"/>
      <c r="AB149" s="273"/>
      <c r="AC149" s="268"/>
      <c r="AD149" s="268"/>
      <c r="AE149" s="220" t="str">
        <f t="shared" si="105"/>
        <v>V</v>
      </c>
      <c r="AF149" s="509"/>
      <c r="AG149" s="220" t="str">
        <f t="shared" si="106"/>
        <v>2</v>
      </c>
      <c r="AH149" s="220" t="str">
        <f t="shared" si="107"/>
        <v>1</v>
      </c>
      <c r="AI149" s="220"/>
      <c r="AJ149" s="221" t="str">
        <f t="shared" si="108"/>
        <v>1</v>
      </c>
      <c r="AK149" s="220" t="str">
        <f t="shared" si="109"/>
        <v>2.1..1</v>
      </c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1" ht="16.5" customHeight="1" outlineLevel="2">
      <c r="A150" s="207">
        <f t="shared" si="99"/>
        <v>138</v>
      </c>
      <c r="B150" s="207">
        <v>13</v>
      </c>
      <c r="C150" s="268" t="s">
        <v>1316</v>
      </c>
      <c r="D150" s="269">
        <v>6996.64</v>
      </c>
      <c r="E150" s="504" t="s">
        <v>91</v>
      </c>
      <c r="F150" s="213">
        <f>S150</f>
        <v>14906.96</v>
      </c>
      <c r="G150" s="222"/>
      <c r="H150" s="270">
        <f t="shared" si="101"/>
        <v>2012</v>
      </c>
      <c r="I150" s="268" t="s">
        <v>588</v>
      </c>
      <c r="J150" s="269">
        <v>17323</v>
      </c>
      <c r="K150" s="269" t="s">
        <v>1032</v>
      </c>
      <c r="L150" s="269">
        <v>17323</v>
      </c>
      <c r="M150" s="213">
        <f t="shared" si="102"/>
        <v>17323</v>
      </c>
      <c r="N150" s="222" t="s">
        <v>1076</v>
      </c>
      <c r="O150" s="271" t="s">
        <v>376</v>
      </c>
      <c r="P150" s="269">
        <v>9935</v>
      </c>
      <c r="Q150" s="269">
        <v>4971.96</v>
      </c>
      <c r="R150" s="269">
        <v>14906.96</v>
      </c>
      <c r="S150" s="213">
        <f t="shared" si="103"/>
        <v>14906.96</v>
      </c>
      <c r="T150" s="228"/>
      <c r="U150" s="222"/>
      <c r="V150" s="272"/>
      <c r="W150" s="272"/>
      <c r="X150" s="228"/>
      <c r="Y150" s="213">
        <f t="shared" si="104"/>
        <v>0</v>
      </c>
      <c r="Z150" s="222">
        <v>2020</v>
      </c>
      <c r="AA150" s="228"/>
      <c r="AB150" s="273"/>
      <c r="AC150" s="268"/>
      <c r="AD150" s="268"/>
      <c r="AE150" s="220" t="str">
        <f t="shared" si="105"/>
        <v>V</v>
      </c>
      <c r="AF150" s="509"/>
      <c r="AG150" s="220" t="str">
        <f t="shared" si="106"/>
        <v>2</v>
      </c>
      <c r="AH150" s="220" t="str">
        <f t="shared" si="107"/>
        <v>1</v>
      </c>
      <c r="AI150" s="220"/>
      <c r="AJ150" s="221" t="str">
        <f t="shared" si="108"/>
        <v>1</v>
      </c>
      <c r="AK150" s="220" t="str">
        <f t="shared" si="109"/>
        <v>2.1..1</v>
      </c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spans="1:61" ht="16.5" customHeight="1" outlineLevel="2">
      <c r="A151" s="207">
        <f t="shared" si="99"/>
        <v>139</v>
      </c>
      <c r="B151" s="207">
        <v>14</v>
      </c>
      <c r="C151" s="268" t="s">
        <v>1317</v>
      </c>
      <c r="D151" s="269">
        <v>51094.78</v>
      </c>
      <c r="E151" s="504" t="s">
        <v>91</v>
      </c>
      <c r="F151" s="213">
        <f>Y151</f>
        <v>46417.83</v>
      </c>
      <c r="G151" s="222"/>
      <c r="H151" s="270">
        <f t="shared" si="101"/>
        <v>2013</v>
      </c>
      <c r="I151" s="268" t="s">
        <v>1318</v>
      </c>
      <c r="J151" s="269">
        <v>25080</v>
      </c>
      <c r="K151" s="269" t="s">
        <v>1032</v>
      </c>
      <c r="L151" s="269">
        <v>25080</v>
      </c>
      <c r="M151" s="213">
        <f t="shared" si="102"/>
        <v>25080</v>
      </c>
      <c r="N151" s="222"/>
      <c r="O151" s="271" t="s">
        <v>1319</v>
      </c>
      <c r="P151" s="269">
        <v>31800</v>
      </c>
      <c r="Q151" s="269" t="s">
        <v>1032</v>
      </c>
      <c r="R151" s="269">
        <v>31800</v>
      </c>
      <c r="S151" s="213">
        <f t="shared" si="103"/>
        <v>31800</v>
      </c>
      <c r="T151" s="228" t="s">
        <v>1076</v>
      </c>
      <c r="U151" s="507" t="s">
        <v>378</v>
      </c>
      <c r="V151" s="276">
        <v>46417.83</v>
      </c>
      <c r="W151" s="277">
        <v>2617.5700000000002</v>
      </c>
      <c r="X151" s="228"/>
      <c r="Y151" s="213">
        <f t="shared" si="104"/>
        <v>46417.83</v>
      </c>
      <c r="Z151" s="222">
        <v>2022</v>
      </c>
      <c r="AA151" s="228"/>
      <c r="AB151" s="273"/>
      <c r="AC151" s="268"/>
      <c r="AD151" s="268"/>
      <c r="AE151" s="220" t="str">
        <f t="shared" si="105"/>
        <v>V</v>
      </c>
      <c r="AF151" s="509"/>
      <c r="AG151" s="220" t="str">
        <f t="shared" si="106"/>
        <v>2</v>
      </c>
      <c r="AH151" s="220" t="str">
        <f t="shared" si="107"/>
        <v>1</v>
      </c>
      <c r="AI151" s="220"/>
      <c r="AJ151" s="221" t="str">
        <f t="shared" si="108"/>
        <v>1</v>
      </c>
      <c r="AK151" s="220" t="str">
        <f t="shared" si="109"/>
        <v>2.1..1</v>
      </c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spans="1:61" ht="16.5" customHeight="1" outlineLevel="2">
      <c r="A152" s="207">
        <f t="shared" si="99"/>
        <v>140</v>
      </c>
      <c r="B152" s="207">
        <v>15</v>
      </c>
      <c r="C152" s="268" t="s">
        <v>1320</v>
      </c>
      <c r="D152" s="269">
        <v>14384.18</v>
      </c>
      <c r="E152" s="504" t="s">
        <v>104</v>
      </c>
      <c r="F152" s="213">
        <f>IF(M152&gt;0,M152,IF(S152&gt;0,S152,IF(Y152&gt;0,Y152,0)))</f>
        <v>8479</v>
      </c>
      <c r="G152" s="222"/>
      <c r="H152" s="270">
        <f t="shared" si="101"/>
        <v>2011</v>
      </c>
      <c r="I152" s="268" t="s">
        <v>1321</v>
      </c>
      <c r="J152" s="269">
        <v>8479</v>
      </c>
      <c r="K152" s="269" t="s">
        <v>1032</v>
      </c>
      <c r="L152" s="269">
        <v>8479</v>
      </c>
      <c r="M152" s="213">
        <f t="shared" si="102"/>
        <v>8479</v>
      </c>
      <c r="N152" s="222"/>
      <c r="O152" s="271" t="s">
        <v>380</v>
      </c>
      <c r="P152" s="269">
        <v>18784</v>
      </c>
      <c r="Q152" s="269">
        <v>7500</v>
      </c>
      <c r="R152" s="269">
        <v>26284</v>
      </c>
      <c r="S152" s="213">
        <f t="shared" si="103"/>
        <v>26284</v>
      </c>
      <c r="T152" s="228"/>
      <c r="U152" s="222"/>
      <c r="V152" s="228"/>
      <c r="W152" s="228"/>
      <c r="X152" s="228"/>
      <c r="Y152" s="213">
        <f t="shared" si="104"/>
        <v>0</v>
      </c>
      <c r="Z152" s="222">
        <v>2023</v>
      </c>
      <c r="AA152" s="228" t="s">
        <v>1160</v>
      </c>
      <c r="AB152" s="273"/>
      <c r="AC152" s="268"/>
      <c r="AD152" s="268"/>
      <c r="AE152" s="220" t="str">
        <f t="shared" si="105"/>
        <v/>
      </c>
      <c r="AF152" s="509"/>
      <c r="AG152" s="220" t="str">
        <f t="shared" si="106"/>
        <v>2</v>
      </c>
      <c r="AH152" s="220" t="str">
        <f t="shared" si="107"/>
        <v>1</v>
      </c>
      <c r="AI152" s="220"/>
      <c r="AJ152" s="221" t="str">
        <f t="shared" si="108"/>
        <v>1</v>
      </c>
      <c r="AK152" s="220" t="str">
        <f t="shared" si="109"/>
        <v>2.1..1</v>
      </c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1" ht="16.5" customHeight="1" outlineLevel="1">
      <c r="A153" s="207"/>
      <c r="B153" s="278"/>
      <c r="C153" s="279" t="s">
        <v>1322</v>
      </c>
      <c r="D153" s="280">
        <f>SUM(D138:D152)</f>
        <v>361698.92</v>
      </c>
      <c r="E153" s="238">
        <f>COUNTIF(E138:E152,"D") + COUNTIF(E138:E152,"DS")</f>
        <v>15</v>
      </c>
      <c r="F153" s="254">
        <f>SUBTOTAL(9,F138:F152)</f>
        <v>409595.74900000007</v>
      </c>
      <c r="G153" s="278"/>
      <c r="H153" s="240"/>
      <c r="I153" s="264"/>
      <c r="J153" s="254">
        <f t="shared" ref="J153:M153" si="112">SUBTOTAL(9,J138:J152)</f>
        <v>419525</v>
      </c>
      <c r="K153" s="254">
        <f t="shared" si="112"/>
        <v>0</v>
      </c>
      <c r="L153" s="254">
        <f t="shared" si="112"/>
        <v>421279</v>
      </c>
      <c r="M153" s="254">
        <f t="shared" si="112"/>
        <v>421279</v>
      </c>
      <c r="N153" s="201"/>
      <c r="O153" s="236"/>
      <c r="P153" s="255">
        <v>233038.63500000001</v>
      </c>
      <c r="Q153" s="255">
        <v>12509.29</v>
      </c>
      <c r="R153" s="255">
        <v>240566.03</v>
      </c>
      <c r="S153" s="254">
        <f>SUBTOTAL(9,S138:S152)</f>
        <v>337776.99000000005</v>
      </c>
      <c r="T153" s="203">
        <v>3</v>
      </c>
      <c r="U153" s="201">
        <v>4</v>
      </c>
      <c r="V153" s="203">
        <f t="shared" ref="V153:X153" si="113">SUM(V138:V152)</f>
        <v>170012.25899999999</v>
      </c>
      <c r="W153" s="203">
        <f t="shared" si="113"/>
        <v>9325.985999999999</v>
      </c>
      <c r="X153" s="203">
        <f t="shared" si="113"/>
        <v>409</v>
      </c>
      <c r="Y153" s="254">
        <f>SUBTOTAL(9,Y138:Y152)</f>
        <v>170012.25899999999</v>
      </c>
      <c r="Z153" s="243" t="s">
        <v>1138</v>
      </c>
      <c r="AA153" s="228"/>
      <c r="AB153" s="218"/>
      <c r="AC153" s="220"/>
      <c r="AD153" s="220"/>
      <c r="AE153" s="244">
        <f>COUNTIF(AE138:AE152,"V") + COUNTIF(AE138:AE152,"VV") + COUNTIF(AE138:AE152,"VVV")</f>
        <v>12</v>
      </c>
      <c r="AF153" s="229"/>
      <c r="AG153" s="220"/>
      <c r="AH153" s="220"/>
      <c r="AI153" s="220"/>
      <c r="AJ153" s="221"/>
      <c r="AK153" s="220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1" ht="16.5" customHeight="1" outlineLevel="1">
      <c r="A154" s="207">
        <f t="shared" ref="A154:A160" si="114">SUBTOTAL(3,$B$6:B154)</f>
        <v>141</v>
      </c>
      <c r="B154" s="207">
        <v>1</v>
      </c>
      <c r="C154" s="208" t="s">
        <v>1323</v>
      </c>
      <c r="D154" s="247">
        <v>2440.2012506995979</v>
      </c>
      <c r="E154" s="504" t="s">
        <v>104</v>
      </c>
      <c r="F154" s="213">
        <f t="shared" ref="F154:F160" si="115">IF(M154&gt;0,M154,IF(S154&gt;0,S154,IF(Y154&gt;0,Y154,0)))</f>
        <v>2925</v>
      </c>
      <c r="G154" s="256"/>
      <c r="H154" s="281">
        <f t="shared" ref="H154:H160" si="116">VALUE(RIGHT(I154,4))</f>
        <v>2013</v>
      </c>
      <c r="I154" s="212" t="s">
        <v>759</v>
      </c>
      <c r="J154" s="257"/>
      <c r="K154" s="257"/>
      <c r="L154" s="257"/>
      <c r="M154" s="213">
        <f t="shared" ref="M154:M160" si="117">IF(L154&gt;0,L154,IF(J154&gt;0,J154,0))</f>
        <v>0</v>
      </c>
      <c r="N154" s="256"/>
      <c r="O154" s="258"/>
      <c r="P154" s="259"/>
      <c r="Q154" s="259"/>
      <c r="R154" s="259"/>
      <c r="S154" s="213">
        <f t="shared" ref="S154:S158" si="118">IF(R154&gt;0,R154,IF(P154&gt;0,P154,0))</f>
        <v>0</v>
      </c>
      <c r="T154" s="260"/>
      <c r="U154" s="220" t="s">
        <v>343</v>
      </c>
      <c r="V154" s="220">
        <v>2925</v>
      </c>
      <c r="W154" s="216"/>
      <c r="X154" s="216"/>
      <c r="Y154" s="213">
        <f t="shared" ref="Y154:Y158" si="119">IF(X154&gt;0,X154,IF(V154&gt;0,V154,0))</f>
        <v>2925</v>
      </c>
      <c r="Z154" s="222" t="s">
        <v>1097</v>
      </c>
      <c r="AA154" s="228"/>
      <c r="AB154" s="218"/>
      <c r="AC154" s="220"/>
      <c r="AD154" s="220"/>
      <c r="AE154" s="220" t="str">
        <f t="shared" ref="AE154:AE160" si="120">CONCATENATE(G154,N154,T154)</f>
        <v/>
      </c>
      <c r="AF154" s="229"/>
      <c r="AG154" s="220" t="str">
        <f t="shared" ref="AG154:AG160" si="121">IF(H154=0,"3",IF(H154&lt;=2018,"2","1"))</f>
        <v>2</v>
      </c>
      <c r="AH154" s="220" t="str">
        <f t="shared" ref="AH154:AH160" si="122">IF(M154&gt;0,"1","2")</f>
        <v>2</v>
      </c>
      <c r="AI154" s="220"/>
      <c r="AJ154" s="221" t="str">
        <f t="shared" ref="AJ154:AJ160" si="123">IF(S154&gt;0,"1",IF(Y154&gt;0,"1","2"))</f>
        <v>1</v>
      </c>
      <c r="AK154" s="220" t="str">
        <f t="shared" ref="AK154:AK160" si="124">CONCATENATE(AG154,".",AH154,".",AI154,".",AJ154)</f>
        <v>2.2..1</v>
      </c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1" ht="16.5" customHeight="1" outlineLevel="1">
      <c r="A155" s="207">
        <f t="shared" si="114"/>
        <v>142</v>
      </c>
      <c r="B155" s="207">
        <v>2</v>
      </c>
      <c r="C155" s="208" t="s">
        <v>1324</v>
      </c>
      <c r="D155" s="247">
        <v>2679.9560399283041</v>
      </c>
      <c r="E155" s="504" t="s">
        <v>104</v>
      </c>
      <c r="F155" s="213">
        <f t="shared" si="115"/>
        <v>2701.78</v>
      </c>
      <c r="G155" s="256"/>
      <c r="H155" s="281">
        <f t="shared" si="116"/>
        <v>2014</v>
      </c>
      <c r="I155" s="212" t="s">
        <v>321</v>
      </c>
      <c r="J155" s="257"/>
      <c r="K155" s="257"/>
      <c r="L155" s="257"/>
      <c r="M155" s="213">
        <f t="shared" si="117"/>
        <v>0</v>
      </c>
      <c r="N155" s="256"/>
      <c r="O155" s="258"/>
      <c r="P155" s="259"/>
      <c r="Q155" s="259"/>
      <c r="R155" s="259"/>
      <c r="S155" s="213">
        <f t="shared" si="118"/>
        <v>0</v>
      </c>
      <c r="T155" s="260"/>
      <c r="U155" s="207" t="s">
        <v>1325</v>
      </c>
      <c r="V155" s="216">
        <v>2701.78</v>
      </c>
      <c r="W155" s="260"/>
      <c r="X155" s="260"/>
      <c r="Y155" s="213">
        <f t="shared" si="119"/>
        <v>2701.78</v>
      </c>
      <c r="Z155" s="222" t="s">
        <v>1097</v>
      </c>
      <c r="AA155" s="228"/>
      <c r="AB155" s="218"/>
      <c r="AC155" s="220"/>
      <c r="AD155" s="220"/>
      <c r="AE155" s="220" t="str">
        <f t="shared" si="120"/>
        <v/>
      </c>
      <c r="AF155" s="229"/>
      <c r="AG155" s="220" t="str">
        <f t="shared" si="121"/>
        <v>2</v>
      </c>
      <c r="AH155" s="220" t="str">
        <f t="shared" si="122"/>
        <v>2</v>
      </c>
      <c r="AI155" s="220"/>
      <c r="AJ155" s="221" t="str">
        <f t="shared" si="123"/>
        <v>1</v>
      </c>
      <c r="AK155" s="220" t="str">
        <f t="shared" si="124"/>
        <v>2.2..1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spans="1:61" ht="16.5" customHeight="1" outlineLevel="2">
      <c r="A156" s="207">
        <f t="shared" si="114"/>
        <v>143</v>
      </c>
      <c r="B156" s="207">
        <v>3</v>
      </c>
      <c r="C156" s="245" t="s">
        <v>1326</v>
      </c>
      <c r="D156" s="209">
        <v>13556.734387990884</v>
      </c>
      <c r="E156" s="504" t="s">
        <v>104</v>
      </c>
      <c r="F156" s="213">
        <f t="shared" si="115"/>
        <v>15869.34</v>
      </c>
      <c r="G156" s="207"/>
      <c r="H156" s="281">
        <f t="shared" si="116"/>
        <v>2014</v>
      </c>
      <c r="I156" s="212" t="s">
        <v>185</v>
      </c>
      <c r="J156" s="213">
        <v>15869.34</v>
      </c>
      <c r="K156" s="213">
        <v>0</v>
      </c>
      <c r="L156" s="213">
        <v>15869.34</v>
      </c>
      <c r="M156" s="213">
        <f t="shared" si="117"/>
        <v>15869.34</v>
      </c>
      <c r="N156" s="207"/>
      <c r="O156" s="253" t="s">
        <v>1327</v>
      </c>
      <c r="P156" s="230">
        <v>15869.34</v>
      </c>
      <c r="Q156" s="230">
        <v>19130.66</v>
      </c>
      <c r="R156" s="230">
        <v>35000</v>
      </c>
      <c r="S156" s="213">
        <f t="shared" si="118"/>
        <v>35000</v>
      </c>
      <c r="T156" s="216"/>
      <c r="U156" s="221" t="s">
        <v>347</v>
      </c>
      <c r="V156" s="216">
        <v>15869.34</v>
      </c>
      <c r="W156" s="216">
        <v>19130.66</v>
      </c>
      <c r="X156" s="216">
        <v>35000</v>
      </c>
      <c r="Y156" s="213">
        <f t="shared" si="119"/>
        <v>35000</v>
      </c>
      <c r="Z156" s="222" t="s">
        <v>1097</v>
      </c>
      <c r="AA156" s="228"/>
      <c r="AB156" s="218"/>
      <c r="AC156" s="220"/>
      <c r="AD156" s="220"/>
      <c r="AE156" s="220" t="str">
        <f t="shared" si="120"/>
        <v/>
      </c>
      <c r="AF156" s="229"/>
      <c r="AG156" s="220" t="str">
        <f t="shared" si="121"/>
        <v>2</v>
      </c>
      <c r="AH156" s="220" t="str">
        <f t="shared" si="122"/>
        <v>1</v>
      </c>
      <c r="AI156" s="220"/>
      <c r="AJ156" s="221" t="str">
        <f t="shared" si="123"/>
        <v>1</v>
      </c>
      <c r="AK156" s="220" t="str">
        <f t="shared" si="124"/>
        <v>2.1..1</v>
      </c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spans="1:61" ht="16.5" customHeight="1" outlineLevel="2">
      <c r="A157" s="207">
        <f t="shared" si="114"/>
        <v>144</v>
      </c>
      <c r="B157" s="207">
        <v>4</v>
      </c>
      <c r="C157" s="245" t="s">
        <v>1328</v>
      </c>
      <c r="D157" s="209">
        <v>250.39411614609301</v>
      </c>
      <c r="E157" s="504" t="s">
        <v>91</v>
      </c>
      <c r="F157" s="213">
        <f t="shared" si="115"/>
        <v>391.8</v>
      </c>
      <c r="G157" s="207"/>
      <c r="H157" s="281">
        <f t="shared" si="116"/>
        <v>2019</v>
      </c>
      <c r="I157" s="212" t="s">
        <v>187</v>
      </c>
      <c r="J157" s="213"/>
      <c r="K157" s="213"/>
      <c r="L157" s="213"/>
      <c r="M157" s="213">
        <f t="shared" si="117"/>
        <v>0</v>
      </c>
      <c r="N157" s="207" t="s">
        <v>1076</v>
      </c>
      <c r="O157" s="231" t="s">
        <v>349</v>
      </c>
      <c r="P157" s="230">
        <v>300.55</v>
      </c>
      <c r="Q157" s="230">
        <v>91.25</v>
      </c>
      <c r="R157" s="230">
        <v>391.8</v>
      </c>
      <c r="S157" s="213">
        <f t="shared" si="118"/>
        <v>391.8</v>
      </c>
      <c r="T157" s="216"/>
      <c r="U157" s="207"/>
      <c r="V157" s="216"/>
      <c r="W157" s="216"/>
      <c r="X157" s="216"/>
      <c r="Y157" s="213">
        <f t="shared" si="119"/>
        <v>0</v>
      </c>
      <c r="Z157" s="222">
        <v>2020</v>
      </c>
      <c r="AA157" s="228"/>
      <c r="AB157" s="218"/>
      <c r="AC157" s="220"/>
      <c r="AD157" s="220"/>
      <c r="AE157" s="220" t="str">
        <f t="shared" si="120"/>
        <v>V</v>
      </c>
      <c r="AF157" s="229"/>
      <c r="AG157" s="220" t="str">
        <f t="shared" si="121"/>
        <v>1</v>
      </c>
      <c r="AH157" s="220" t="str">
        <f t="shared" si="122"/>
        <v>2</v>
      </c>
      <c r="AI157" s="220"/>
      <c r="AJ157" s="221" t="str">
        <f t="shared" si="123"/>
        <v>1</v>
      </c>
      <c r="AK157" s="220" t="str">
        <f t="shared" si="124"/>
        <v>1.2..1</v>
      </c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</row>
    <row r="158" spans="1:61" ht="16.5" customHeight="1" outlineLevel="2">
      <c r="A158" s="207">
        <f t="shared" si="114"/>
        <v>145</v>
      </c>
      <c r="B158" s="207">
        <v>5</v>
      </c>
      <c r="C158" s="245" t="s">
        <v>1329</v>
      </c>
      <c r="D158" s="209">
        <v>983.45353349965865</v>
      </c>
      <c r="E158" s="504" t="s">
        <v>91</v>
      </c>
      <c r="F158" s="213">
        <f t="shared" si="115"/>
        <v>1015.39</v>
      </c>
      <c r="G158" s="207"/>
      <c r="H158" s="281">
        <f t="shared" si="116"/>
        <v>2014</v>
      </c>
      <c r="I158" s="212" t="s">
        <v>1330</v>
      </c>
      <c r="J158" s="213"/>
      <c r="K158" s="213"/>
      <c r="L158" s="213"/>
      <c r="M158" s="213">
        <f t="shared" si="117"/>
        <v>0</v>
      </c>
      <c r="N158" s="207" t="s">
        <v>1076</v>
      </c>
      <c r="O158" s="231" t="s">
        <v>155</v>
      </c>
      <c r="P158" s="230">
        <v>1015.39</v>
      </c>
      <c r="Q158" s="230">
        <v>244.61</v>
      </c>
      <c r="R158" s="230">
        <v>0</v>
      </c>
      <c r="S158" s="213">
        <f t="shared" si="118"/>
        <v>1015.39</v>
      </c>
      <c r="T158" s="216"/>
      <c r="U158" s="207"/>
      <c r="V158" s="216"/>
      <c r="W158" s="216"/>
      <c r="X158" s="216"/>
      <c r="Y158" s="213">
        <f t="shared" si="119"/>
        <v>0</v>
      </c>
      <c r="Z158" s="222">
        <v>2020</v>
      </c>
      <c r="AA158" s="228"/>
      <c r="AB158" s="218"/>
      <c r="AC158" s="220"/>
      <c r="AD158" s="220"/>
      <c r="AE158" s="220" t="str">
        <f t="shared" si="120"/>
        <v>V</v>
      </c>
      <c r="AF158" s="229"/>
      <c r="AG158" s="220" t="str">
        <f t="shared" si="121"/>
        <v>2</v>
      </c>
      <c r="AH158" s="220" t="str">
        <f t="shared" si="122"/>
        <v>2</v>
      </c>
      <c r="AI158" s="220"/>
      <c r="AJ158" s="221" t="str">
        <f t="shared" si="123"/>
        <v>1</v>
      </c>
      <c r="AK158" s="220" t="str">
        <f t="shared" si="124"/>
        <v>2.2..1</v>
      </c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</row>
    <row r="159" spans="1:61" ht="16.5" customHeight="1" outlineLevel="2">
      <c r="A159" s="207">
        <f t="shared" si="114"/>
        <v>146</v>
      </c>
      <c r="B159" s="207">
        <v>6</v>
      </c>
      <c r="C159" s="245" t="s">
        <v>1331</v>
      </c>
      <c r="D159" s="209">
        <v>2491.5246161459195</v>
      </c>
      <c r="E159" s="504" t="s">
        <v>104</v>
      </c>
      <c r="F159" s="213">
        <f t="shared" si="115"/>
        <v>3042</v>
      </c>
      <c r="G159" s="207"/>
      <c r="H159" s="281">
        <f t="shared" si="116"/>
        <v>2014</v>
      </c>
      <c r="I159" s="212" t="s">
        <v>353</v>
      </c>
      <c r="J159" s="213">
        <v>3042</v>
      </c>
      <c r="K159" s="213">
        <v>0</v>
      </c>
      <c r="L159" s="213">
        <v>3042</v>
      </c>
      <c r="M159" s="213">
        <f t="shared" si="117"/>
        <v>3042</v>
      </c>
      <c r="N159" s="207"/>
      <c r="O159" s="231" t="s">
        <v>218</v>
      </c>
      <c r="P159" s="621" t="s">
        <v>1332</v>
      </c>
      <c r="Q159" s="564"/>
      <c r="R159" s="559"/>
      <c r="S159" s="213"/>
      <c r="T159" s="216"/>
      <c r="U159" s="207" t="s">
        <v>1333</v>
      </c>
      <c r="V159" s="216">
        <v>3023.48</v>
      </c>
      <c r="W159" s="216"/>
      <c r="X159" s="216"/>
      <c r="Y159" s="213"/>
      <c r="Z159" s="222" t="s">
        <v>1097</v>
      </c>
      <c r="AA159" s="228"/>
      <c r="AB159" s="218"/>
      <c r="AC159" s="220"/>
      <c r="AD159" s="220"/>
      <c r="AE159" s="220" t="str">
        <f t="shared" si="120"/>
        <v/>
      </c>
      <c r="AF159" s="229"/>
      <c r="AG159" s="220" t="str">
        <f t="shared" si="121"/>
        <v>2</v>
      </c>
      <c r="AH159" s="220" t="str">
        <f t="shared" si="122"/>
        <v>1</v>
      </c>
      <c r="AI159" s="220"/>
      <c r="AJ159" s="221" t="str">
        <f t="shared" si="123"/>
        <v>2</v>
      </c>
      <c r="AK159" s="220" t="str">
        <f t="shared" si="124"/>
        <v>2.1..2</v>
      </c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</row>
    <row r="160" spans="1:61" ht="16.5" customHeight="1" outlineLevel="2">
      <c r="A160" s="207">
        <f t="shared" si="114"/>
        <v>147</v>
      </c>
      <c r="B160" s="207">
        <v>7</v>
      </c>
      <c r="C160" s="245" t="s">
        <v>1334</v>
      </c>
      <c r="D160" s="209">
        <v>0</v>
      </c>
      <c r="E160" s="504" t="s">
        <v>123</v>
      </c>
      <c r="F160" s="213">
        <f t="shared" si="115"/>
        <v>0</v>
      </c>
      <c r="G160" s="207"/>
      <c r="H160" s="281">
        <f t="shared" si="116"/>
        <v>2012</v>
      </c>
      <c r="I160" s="212" t="s">
        <v>315</v>
      </c>
      <c r="J160" s="213"/>
      <c r="K160" s="213"/>
      <c r="L160" s="213"/>
      <c r="M160" s="213">
        <f t="shared" si="117"/>
        <v>0</v>
      </c>
      <c r="N160" s="207"/>
      <c r="O160" s="231"/>
      <c r="P160" s="230"/>
      <c r="Q160" s="230"/>
      <c r="R160" s="230"/>
      <c r="S160" s="213">
        <f>IF(R160&gt;0,R160,IF(P160&gt;0,P160,0))</f>
        <v>0</v>
      </c>
      <c r="T160" s="216"/>
      <c r="U160" s="207"/>
      <c r="V160" s="216"/>
      <c r="W160" s="216"/>
      <c r="X160" s="216"/>
      <c r="Y160" s="213">
        <f>IF(X160&gt;0,X160,IF(V160&gt;0,V160,0))</f>
        <v>0</v>
      </c>
      <c r="Z160" s="222" t="s">
        <v>1097</v>
      </c>
      <c r="AA160" s="228"/>
      <c r="AB160" s="218"/>
      <c r="AC160" s="220"/>
      <c r="AD160" s="220"/>
      <c r="AE160" s="220" t="str">
        <f t="shared" si="120"/>
        <v/>
      </c>
      <c r="AF160" s="229"/>
      <c r="AG160" s="220" t="str">
        <f t="shared" si="121"/>
        <v>2</v>
      </c>
      <c r="AH160" s="220" t="str">
        <f t="shared" si="122"/>
        <v>2</v>
      </c>
      <c r="AI160" s="220"/>
      <c r="AJ160" s="221" t="str">
        <f t="shared" si="123"/>
        <v>2</v>
      </c>
      <c r="AK160" s="220" t="str">
        <f t="shared" si="124"/>
        <v>2.2..2</v>
      </c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</row>
    <row r="161" spans="1:61" ht="16.5" customHeight="1" outlineLevel="1">
      <c r="A161" s="207"/>
      <c r="B161" s="235"/>
      <c r="C161" s="249" t="s">
        <v>1335</v>
      </c>
      <c r="D161" s="250"/>
      <c r="E161" s="238">
        <f>COUNTIF(E154:E160,"D") + COUNTIF(E154:E160,"DS")</f>
        <v>6</v>
      </c>
      <c r="F161" s="254">
        <f>SUBTOTAL(9,F154:F160)</f>
        <v>25945.31</v>
      </c>
      <c r="G161" s="201"/>
      <c r="H161" s="240"/>
      <c r="I161" s="264"/>
      <c r="J161" s="254">
        <f>SUBTOTAL(9,J154:J160)</f>
        <v>18911.34</v>
      </c>
      <c r="K161" s="254">
        <f t="shared" ref="K161:M161" si="125">SUBTOTAL(9,K156:K159)</f>
        <v>0</v>
      </c>
      <c r="L161" s="254">
        <f t="shared" si="125"/>
        <v>18911.34</v>
      </c>
      <c r="M161" s="254">
        <f t="shared" si="125"/>
        <v>18911.34</v>
      </c>
      <c r="N161" s="201"/>
      <c r="O161" s="236"/>
      <c r="P161" s="255">
        <v>16211.89</v>
      </c>
      <c r="Q161" s="255">
        <v>19466.52</v>
      </c>
      <c r="R161" s="255">
        <v>35391.800000000003</v>
      </c>
      <c r="S161" s="254">
        <f>SUBTOTAL(9,S156:S159)</f>
        <v>36407.19</v>
      </c>
      <c r="T161" s="203"/>
      <c r="U161" s="201">
        <v>4</v>
      </c>
      <c r="V161" s="203">
        <v>16211.89</v>
      </c>
      <c r="W161" s="203">
        <v>19466.52</v>
      </c>
      <c r="X161" s="203">
        <v>35391.800000000003</v>
      </c>
      <c r="Y161" s="254">
        <f>SUBTOTAL(9,Y156:Y159)</f>
        <v>35000</v>
      </c>
      <c r="Z161" s="243" t="s">
        <v>1138</v>
      </c>
      <c r="AA161" s="228"/>
      <c r="AB161" s="218"/>
      <c r="AC161" s="220"/>
      <c r="AD161" s="220"/>
      <c r="AE161" s="244">
        <f>COUNTIF(AE154:AE160,"V") + COUNTIF(AE154:AE160,"VV") + COUNTIF(AE154:AE160,"VVV")</f>
        <v>2</v>
      </c>
      <c r="AF161" s="229"/>
      <c r="AG161" s="220"/>
      <c r="AH161" s="220"/>
      <c r="AI161" s="220"/>
      <c r="AJ161" s="221"/>
      <c r="AK161" s="220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</row>
    <row r="162" spans="1:61" ht="16.5" customHeight="1" outlineLevel="2">
      <c r="A162" s="207">
        <f t="shared" ref="A162:A168" si="126">SUBTOTAL(3,$B$6:B162)</f>
        <v>148</v>
      </c>
      <c r="B162" s="207">
        <v>1</v>
      </c>
      <c r="C162" s="245" t="s">
        <v>1336</v>
      </c>
      <c r="D162" s="209">
        <v>154.31830745484098</v>
      </c>
      <c r="E162" s="504" t="s">
        <v>91</v>
      </c>
      <c r="F162" s="213">
        <f t="shared" ref="F162:F168" si="127">IF(M162&gt;0,M162,IF(S162&gt;0,S162,IF(Y162&gt;0,Y162,0)))</f>
        <v>67.33</v>
      </c>
      <c r="G162" s="207" t="s">
        <v>1076</v>
      </c>
      <c r="H162" s="281">
        <f t="shared" ref="H162:H168" si="128">VALUE(RIGHT(I162,4))</f>
        <v>2020</v>
      </c>
      <c r="I162" s="212" t="s">
        <v>262</v>
      </c>
      <c r="J162" s="213">
        <v>0</v>
      </c>
      <c r="K162" s="213">
        <v>0</v>
      </c>
      <c r="L162" s="213">
        <v>67.33</v>
      </c>
      <c r="M162" s="213">
        <f t="shared" ref="M162:M168" si="129">IF(L162&gt;0,L162,IF(J162&gt;0,J162,0))</f>
        <v>67.33</v>
      </c>
      <c r="N162" s="207"/>
      <c r="O162" s="231"/>
      <c r="P162" s="230"/>
      <c r="Q162" s="230"/>
      <c r="R162" s="230"/>
      <c r="S162" s="213">
        <f t="shared" ref="S162:S168" si="130">IF(R162&gt;0,R162,IF(P162&gt;0,P162,0))</f>
        <v>0</v>
      </c>
      <c r="T162" s="216"/>
      <c r="U162" s="207"/>
      <c r="V162" s="216"/>
      <c r="W162" s="216"/>
      <c r="X162" s="216"/>
      <c r="Y162" s="213">
        <f t="shared" ref="Y162:Y168" si="131">IF(X162&gt;0,X162,IF(V162&gt;0,V162,0))</f>
        <v>0</v>
      </c>
      <c r="Z162" s="222">
        <v>2020</v>
      </c>
      <c r="AA162" s="228"/>
      <c r="AB162" s="218"/>
      <c r="AC162" s="220"/>
      <c r="AD162" s="220"/>
      <c r="AE162" s="220" t="str">
        <f t="shared" ref="AE162:AE168" si="132">CONCATENATE(G162,N162,T162)</f>
        <v>V</v>
      </c>
      <c r="AF162" s="229"/>
      <c r="AG162" s="220" t="str">
        <f t="shared" ref="AG162:AG168" si="133">IF(H162=0,"3",IF(H162&lt;=2018,"2","1"))</f>
        <v>1</v>
      </c>
      <c r="AH162" s="220" t="str">
        <f t="shared" ref="AH162:AH168" si="134">IF(M162&gt;0,"1","2")</f>
        <v>1</v>
      </c>
      <c r="AI162" s="220"/>
      <c r="AJ162" s="221" t="str">
        <f t="shared" ref="AJ162:AJ168" si="135">IF(S162&gt;0,"1",IF(Y162&gt;0,"1","2"))</f>
        <v>2</v>
      </c>
      <c r="AK162" s="220" t="str">
        <f t="shared" ref="AK162:AK168" si="136">CONCATENATE(AG162,".",AH162,".",AI162,".",AJ162)</f>
        <v>1.1..2</v>
      </c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</row>
    <row r="163" spans="1:61" ht="16.5" customHeight="1" outlineLevel="2">
      <c r="A163" s="207">
        <f t="shared" si="126"/>
        <v>149</v>
      </c>
      <c r="B163" s="207">
        <v>2</v>
      </c>
      <c r="C163" s="245" t="s">
        <v>1337</v>
      </c>
      <c r="D163" s="209">
        <v>182.8231245867737</v>
      </c>
      <c r="E163" s="504" t="s">
        <v>91</v>
      </c>
      <c r="F163" s="213">
        <f t="shared" si="127"/>
        <v>119</v>
      </c>
      <c r="G163" s="207" t="s">
        <v>1076</v>
      </c>
      <c r="H163" s="281">
        <f t="shared" si="128"/>
        <v>2021</v>
      </c>
      <c r="I163" s="212" t="s">
        <v>265</v>
      </c>
      <c r="J163" s="213">
        <v>0</v>
      </c>
      <c r="K163" s="213">
        <v>0</v>
      </c>
      <c r="L163" s="213">
        <v>119</v>
      </c>
      <c r="M163" s="213">
        <f t="shared" si="129"/>
        <v>119</v>
      </c>
      <c r="N163" s="207"/>
      <c r="O163" s="231"/>
      <c r="P163" s="230"/>
      <c r="Q163" s="230"/>
      <c r="R163" s="230"/>
      <c r="S163" s="213">
        <f t="shared" si="130"/>
        <v>0</v>
      </c>
      <c r="T163" s="216"/>
      <c r="U163" s="207"/>
      <c r="V163" s="216"/>
      <c r="W163" s="216"/>
      <c r="X163" s="216"/>
      <c r="Y163" s="213">
        <f t="shared" si="131"/>
        <v>0</v>
      </c>
      <c r="Z163" s="222">
        <v>2020</v>
      </c>
      <c r="AA163" s="228"/>
      <c r="AB163" s="218"/>
      <c r="AC163" s="220"/>
      <c r="AD163" s="220"/>
      <c r="AE163" s="220" t="str">
        <f t="shared" si="132"/>
        <v>V</v>
      </c>
      <c r="AF163" s="229"/>
      <c r="AG163" s="220" t="str">
        <f t="shared" si="133"/>
        <v>1</v>
      </c>
      <c r="AH163" s="220" t="str">
        <f t="shared" si="134"/>
        <v>1</v>
      </c>
      <c r="AI163" s="220"/>
      <c r="AJ163" s="221" t="str">
        <f t="shared" si="135"/>
        <v>2</v>
      </c>
      <c r="AK163" s="220" t="str">
        <f t="shared" si="136"/>
        <v>1.1..2</v>
      </c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</row>
    <row r="164" spans="1:61" ht="16.5" customHeight="1" outlineLevel="2">
      <c r="A164" s="207">
        <f t="shared" si="126"/>
        <v>150</v>
      </c>
      <c r="B164" s="207">
        <v>3</v>
      </c>
      <c r="C164" s="245" t="s">
        <v>1338</v>
      </c>
      <c r="D164" s="209">
        <v>99.28278363217899</v>
      </c>
      <c r="E164" s="504" t="s">
        <v>104</v>
      </c>
      <c r="F164" s="213">
        <f t="shared" si="127"/>
        <v>150</v>
      </c>
      <c r="G164" s="207"/>
      <c r="H164" s="281">
        <f t="shared" si="128"/>
        <v>2013</v>
      </c>
      <c r="I164" s="212" t="s">
        <v>875</v>
      </c>
      <c r="J164" s="213">
        <v>150</v>
      </c>
      <c r="K164" s="213">
        <v>0</v>
      </c>
      <c r="L164" s="213">
        <v>150</v>
      </c>
      <c r="M164" s="213">
        <f t="shared" si="129"/>
        <v>150</v>
      </c>
      <c r="N164" s="207"/>
      <c r="O164" s="231"/>
      <c r="P164" s="230"/>
      <c r="Q164" s="230"/>
      <c r="R164" s="230"/>
      <c r="S164" s="213">
        <f t="shared" si="130"/>
        <v>0</v>
      </c>
      <c r="T164" s="216"/>
      <c r="U164" s="207"/>
      <c r="V164" s="216"/>
      <c r="W164" s="216"/>
      <c r="X164" s="216"/>
      <c r="Y164" s="213">
        <f t="shared" si="131"/>
        <v>0</v>
      </c>
      <c r="Z164" s="222" t="s">
        <v>1097</v>
      </c>
      <c r="AA164" s="228"/>
      <c r="AB164" s="218"/>
      <c r="AC164" s="220"/>
      <c r="AD164" s="220"/>
      <c r="AE164" s="220" t="str">
        <f t="shared" si="132"/>
        <v/>
      </c>
      <c r="AF164" s="229"/>
      <c r="AG164" s="220" t="str">
        <f t="shared" si="133"/>
        <v>2</v>
      </c>
      <c r="AH164" s="220" t="str">
        <f t="shared" si="134"/>
        <v>1</v>
      </c>
      <c r="AI164" s="220"/>
      <c r="AJ164" s="221" t="str">
        <f t="shared" si="135"/>
        <v>2</v>
      </c>
      <c r="AK164" s="220" t="str">
        <f t="shared" si="136"/>
        <v>2.1..2</v>
      </c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</row>
    <row r="165" spans="1:61" ht="16.5" customHeight="1" outlineLevel="2">
      <c r="A165" s="207">
        <f t="shared" si="126"/>
        <v>151</v>
      </c>
      <c r="B165" s="207">
        <v>4</v>
      </c>
      <c r="C165" s="245" t="s">
        <v>1339</v>
      </c>
      <c r="D165" s="209">
        <v>1.325343384300141</v>
      </c>
      <c r="E165" s="504" t="s">
        <v>123</v>
      </c>
      <c r="F165" s="213">
        <f t="shared" si="127"/>
        <v>0</v>
      </c>
      <c r="G165" s="207"/>
      <c r="H165" s="281">
        <f t="shared" si="128"/>
        <v>2014</v>
      </c>
      <c r="I165" s="212" t="s">
        <v>270</v>
      </c>
      <c r="J165" s="213"/>
      <c r="K165" s="213"/>
      <c r="L165" s="213"/>
      <c r="M165" s="213">
        <f t="shared" si="129"/>
        <v>0</v>
      </c>
      <c r="N165" s="207"/>
      <c r="O165" s="231"/>
      <c r="P165" s="230"/>
      <c r="Q165" s="230"/>
      <c r="R165" s="230"/>
      <c r="S165" s="213">
        <f t="shared" si="130"/>
        <v>0</v>
      </c>
      <c r="T165" s="216"/>
      <c r="U165" s="207"/>
      <c r="V165" s="216"/>
      <c r="W165" s="216"/>
      <c r="X165" s="216"/>
      <c r="Y165" s="213">
        <f t="shared" si="131"/>
        <v>0</v>
      </c>
      <c r="Z165" s="222" t="s">
        <v>1097</v>
      </c>
      <c r="AA165" s="228"/>
      <c r="AB165" s="218"/>
      <c r="AC165" s="220"/>
      <c r="AD165" s="220"/>
      <c r="AE165" s="220" t="str">
        <f t="shared" si="132"/>
        <v/>
      </c>
      <c r="AF165" s="229"/>
      <c r="AG165" s="220" t="str">
        <f t="shared" si="133"/>
        <v>2</v>
      </c>
      <c r="AH165" s="220" t="str">
        <f t="shared" si="134"/>
        <v>2</v>
      </c>
      <c r="AI165" s="220"/>
      <c r="AJ165" s="221" t="str">
        <f t="shared" si="135"/>
        <v>2</v>
      </c>
      <c r="AK165" s="220" t="str">
        <f t="shared" si="136"/>
        <v>2.2..2</v>
      </c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1" ht="16.5" customHeight="1" outlineLevel="2">
      <c r="A166" s="207">
        <f t="shared" si="126"/>
        <v>152</v>
      </c>
      <c r="B166" s="207">
        <v>5</v>
      </c>
      <c r="C166" s="245" t="s">
        <v>1340</v>
      </c>
      <c r="D166" s="209">
        <v>0</v>
      </c>
      <c r="E166" s="504" t="s">
        <v>123</v>
      </c>
      <c r="F166" s="213">
        <f t="shared" si="127"/>
        <v>0</v>
      </c>
      <c r="G166" s="207"/>
      <c r="H166" s="281">
        <f t="shared" si="128"/>
        <v>2021</v>
      </c>
      <c r="I166" s="212" t="s">
        <v>265</v>
      </c>
      <c r="J166" s="213"/>
      <c r="K166" s="213"/>
      <c r="L166" s="213"/>
      <c r="M166" s="213">
        <f t="shared" si="129"/>
        <v>0</v>
      </c>
      <c r="N166" s="207"/>
      <c r="O166" s="231"/>
      <c r="P166" s="230"/>
      <c r="Q166" s="230"/>
      <c r="R166" s="230"/>
      <c r="S166" s="213">
        <f t="shared" si="130"/>
        <v>0</v>
      </c>
      <c r="T166" s="216"/>
      <c r="U166" s="207"/>
      <c r="V166" s="216"/>
      <c r="W166" s="216"/>
      <c r="X166" s="216"/>
      <c r="Y166" s="213">
        <f t="shared" si="131"/>
        <v>0</v>
      </c>
      <c r="Z166" s="222" t="s">
        <v>1097</v>
      </c>
      <c r="AA166" s="228"/>
      <c r="AB166" s="218"/>
      <c r="AC166" s="220"/>
      <c r="AD166" s="220"/>
      <c r="AE166" s="220" t="str">
        <f t="shared" si="132"/>
        <v/>
      </c>
      <c r="AF166" s="229"/>
      <c r="AG166" s="220" t="str">
        <f t="shared" si="133"/>
        <v>1</v>
      </c>
      <c r="AH166" s="220" t="str">
        <f t="shared" si="134"/>
        <v>2</v>
      </c>
      <c r="AI166" s="220"/>
      <c r="AJ166" s="221" t="str">
        <f t="shared" si="135"/>
        <v>2</v>
      </c>
      <c r="AK166" s="220" t="str">
        <f t="shared" si="136"/>
        <v>1.2..2</v>
      </c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1" ht="16.5" customHeight="1" outlineLevel="2">
      <c r="A167" s="207">
        <f t="shared" si="126"/>
        <v>153</v>
      </c>
      <c r="B167" s="207">
        <v>6</v>
      </c>
      <c r="C167" s="245" t="s">
        <v>1341</v>
      </c>
      <c r="D167" s="209">
        <v>514.61319385260401</v>
      </c>
      <c r="E167" s="504" t="s">
        <v>104</v>
      </c>
      <c r="F167" s="213">
        <f t="shared" si="127"/>
        <v>1320</v>
      </c>
      <c r="G167" s="207"/>
      <c r="H167" s="281">
        <f t="shared" si="128"/>
        <v>2013</v>
      </c>
      <c r="I167" s="212" t="s">
        <v>167</v>
      </c>
      <c r="J167" s="213">
        <v>1320</v>
      </c>
      <c r="K167" s="213">
        <v>0</v>
      </c>
      <c r="L167" s="213">
        <v>1320</v>
      </c>
      <c r="M167" s="213">
        <f t="shared" si="129"/>
        <v>1320</v>
      </c>
      <c r="N167" s="207"/>
      <c r="O167" s="231"/>
      <c r="P167" s="230"/>
      <c r="Q167" s="230"/>
      <c r="R167" s="230"/>
      <c r="S167" s="213">
        <f t="shared" si="130"/>
        <v>0</v>
      </c>
      <c r="T167" s="216"/>
      <c r="U167" s="207"/>
      <c r="V167" s="216"/>
      <c r="W167" s="216"/>
      <c r="X167" s="216"/>
      <c r="Y167" s="213">
        <f t="shared" si="131"/>
        <v>0</v>
      </c>
      <c r="Z167" s="222" t="s">
        <v>1097</v>
      </c>
      <c r="AA167" s="228"/>
      <c r="AB167" s="218"/>
      <c r="AC167" s="220"/>
      <c r="AD167" s="220"/>
      <c r="AE167" s="220" t="str">
        <f t="shared" si="132"/>
        <v/>
      </c>
      <c r="AF167" s="229"/>
      <c r="AG167" s="220" t="str">
        <f t="shared" si="133"/>
        <v>2</v>
      </c>
      <c r="AH167" s="220" t="str">
        <f t="shared" si="134"/>
        <v>1</v>
      </c>
      <c r="AI167" s="220"/>
      <c r="AJ167" s="221" t="str">
        <f t="shared" si="135"/>
        <v>2</v>
      </c>
      <c r="AK167" s="220" t="str">
        <f t="shared" si="136"/>
        <v>2.1..2</v>
      </c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1" ht="16.5" customHeight="1" outlineLevel="2">
      <c r="A168" s="207">
        <f t="shared" si="126"/>
        <v>154</v>
      </c>
      <c r="B168" s="207">
        <v>7</v>
      </c>
      <c r="C168" s="245" t="s">
        <v>1342</v>
      </c>
      <c r="D168" s="209">
        <v>442.12406838048526</v>
      </c>
      <c r="E168" s="504" t="s">
        <v>91</v>
      </c>
      <c r="F168" s="213">
        <f t="shared" si="127"/>
        <v>1840</v>
      </c>
      <c r="G168" s="207" t="s">
        <v>1076</v>
      </c>
      <c r="H168" s="281">
        <f t="shared" si="128"/>
        <v>2021</v>
      </c>
      <c r="I168" s="212" t="s">
        <v>273</v>
      </c>
      <c r="J168" s="213"/>
      <c r="K168" s="213">
        <v>0</v>
      </c>
      <c r="L168" s="213">
        <v>1840</v>
      </c>
      <c r="M168" s="213">
        <f t="shared" si="129"/>
        <v>1840</v>
      </c>
      <c r="N168" s="207"/>
      <c r="O168" s="231"/>
      <c r="P168" s="230"/>
      <c r="Q168" s="230"/>
      <c r="R168" s="230"/>
      <c r="S168" s="213">
        <f t="shared" si="130"/>
        <v>0</v>
      </c>
      <c r="T168" s="216"/>
      <c r="U168" s="207"/>
      <c r="V168" s="216"/>
      <c r="W168" s="216"/>
      <c r="X168" s="216"/>
      <c r="Y168" s="213">
        <f t="shared" si="131"/>
        <v>0</v>
      </c>
      <c r="Z168" s="222">
        <v>2020</v>
      </c>
      <c r="AA168" s="228"/>
      <c r="AB168" s="218"/>
      <c r="AC168" s="220"/>
      <c r="AD168" s="220"/>
      <c r="AE168" s="220" t="str">
        <f t="shared" si="132"/>
        <v>V</v>
      </c>
      <c r="AF168" s="229"/>
      <c r="AG168" s="220" t="str">
        <f t="shared" si="133"/>
        <v>1</v>
      </c>
      <c r="AH168" s="220" t="str">
        <f t="shared" si="134"/>
        <v>1</v>
      </c>
      <c r="AI168" s="220"/>
      <c r="AJ168" s="221" t="str">
        <f t="shared" si="135"/>
        <v>2</v>
      </c>
      <c r="AK168" s="220" t="str">
        <f t="shared" si="136"/>
        <v>1.1..2</v>
      </c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spans="1:61" ht="16.5" customHeight="1" outlineLevel="1">
      <c r="A169" s="207"/>
      <c r="B169" s="235"/>
      <c r="C169" s="249" t="s">
        <v>1343</v>
      </c>
      <c r="D169" s="250">
        <f>SUM(D162:D168)</f>
        <v>1394.4868212911831</v>
      </c>
      <c r="E169" s="238">
        <f>COUNTIF(E162:E168,"D") + COUNTIF(E162:E168,"DS")</f>
        <v>5</v>
      </c>
      <c r="F169" s="254">
        <f>SUBTOTAL(9,F162:F168)</f>
        <v>3496.33</v>
      </c>
      <c r="G169" s="201"/>
      <c r="H169" s="240"/>
      <c r="I169" s="264"/>
      <c r="J169" s="254">
        <f t="shared" ref="J169:M169" si="137">SUBTOTAL(9,J162:J168)</f>
        <v>1470</v>
      </c>
      <c r="K169" s="254">
        <f t="shared" si="137"/>
        <v>0</v>
      </c>
      <c r="L169" s="254">
        <f t="shared" si="137"/>
        <v>3496.33</v>
      </c>
      <c r="M169" s="254">
        <f t="shared" si="137"/>
        <v>3496.33</v>
      </c>
      <c r="N169" s="201"/>
      <c r="O169" s="236"/>
      <c r="P169" s="255">
        <v>0</v>
      </c>
      <c r="Q169" s="255">
        <v>0</v>
      </c>
      <c r="R169" s="255">
        <v>0</v>
      </c>
      <c r="S169" s="254">
        <f>SUBTOTAL(9,S162:S168)</f>
        <v>0</v>
      </c>
      <c r="T169" s="203"/>
      <c r="U169" s="201"/>
      <c r="V169" s="203">
        <v>0</v>
      </c>
      <c r="W169" s="203">
        <v>0</v>
      </c>
      <c r="X169" s="203">
        <v>0</v>
      </c>
      <c r="Y169" s="254">
        <f>SUBTOTAL(9,Y162:Y168)</f>
        <v>0</v>
      </c>
      <c r="Z169" s="243" t="s">
        <v>1138</v>
      </c>
      <c r="AA169" s="228"/>
      <c r="AB169" s="218"/>
      <c r="AC169" s="220"/>
      <c r="AD169" s="220"/>
      <c r="AE169" s="244">
        <f>COUNTIF(AE162:AE168,"V") + COUNTIF(AE162:AE168,"VV") + COUNTIF(AE162:AE168,"VVV")</f>
        <v>3</v>
      </c>
      <c r="AF169" s="229"/>
      <c r="AG169" s="220"/>
      <c r="AH169" s="220"/>
      <c r="AI169" s="220"/>
      <c r="AJ169" s="221"/>
      <c r="AK169" s="220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1" ht="16.5" customHeight="1" outlineLevel="2">
      <c r="A170" s="207">
        <f t="shared" ref="A170:A196" si="138">SUBTOTAL(3,$B$6:B170)</f>
        <v>155</v>
      </c>
      <c r="B170" s="207">
        <v>1</v>
      </c>
      <c r="C170" s="245" t="s">
        <v>1344</v>
      </c>
      <c r="D170" s="209">
        <v>31158.227699080027</v>
      </c>
      <c r="E170" s="504" t="s">
        <v>104</v>
      </c>
      <c r="F170" s="213">
        <f t="shared" ref="F170:F173" si="139">IF(M170&gt;0,M170,IF(S170&gt;0,S170,IF(Y170&gt;0,Y170,0)))</f>
        <v>31046.46</v>
      </c>
      <c r="G170" s="207"/>
      <c r="H170" s="282">
        <f t="shared" ref="H170:H196" si="140">VALUE(RIGHT(I170,4))</f>
        <v>2016</v>
      </c>
      <c r="I170" s="505" t="s">
        <v>1345</v>
      </c>
      <c r="J170" s="283"/>
      <c r="K170" s="283"/>
      <c r="L170" s="283"/>
      <c r="M170" s="213">
        <f t="shared" ref="M170:M196" si="141">IF(L170&gt;0,L170,IF(J170&gt;0,J170,0))</f>
        <v>0</v>
      </c>
      <c r="N170" s="207"/>
      <c r="O170" s="505" t="s">
        <v>1346</v>
      </c>
      <c r="P170" s="230">
        <v>31046.46</v>
      </c>
      <c r="Q170" s="230">
        <v>0</v>
      </c>
      <c r="R170" s="230">
        <v>31046.46</v>
      </c>
      <c r="S170" s="213">
        <f t="shared" ref="S170:S196" si="142">IF(R170&gt;0,R170,IF(P170&gt;0,P170,0))</f>
        <v>31046.46</v>
      </c>
      <c r="T170" s="216"/>
      <c r="U170" s="207"/>
      <c r="V170" s="216"/>
      <c r="W170" s="216"/>
      <c r="X170" s="216"/>
      <c r="Y170" s="213">
        <f t="shared" ref="Y170:Y196" si="143">IF(X170&gt;0,X170,IF(V170&gt;0,V170,0))</f>
        <v>0</v>
      </c>
      <c r="Z170" s="222" t="s">
        <v>1347</v>
      </c>
      <c r="AA170" s="228"/>
      <c r="AB170" s="218">
        <v>30107.677042386327</v>
      </c>
      <c r="AC170" s="220"/>
      <c r="AD170" s="220"/>
      <c r="AE170" s="220" t="str">
        <f t="shared" ref="AE170:AE196" si="144">CONCATENATE(G170,N170,T170)</f>
        <v/>
      </c>
      <c r="AF170" s="229"/>
      <c r="AG170" s="220" t="str">
        <f t="shared" ref="AG170:AG196" si="145">IF(H170=0,"3",IF(H170&lt;=2018,"2","1"))</f>
        <v>2</v>
      </c>
      <c r="AH170" s="220" t="str">
        <f t="shared" ref="AH170:AH196" si="146">IF(M170&gt;0,"1","2")</f>
        <v>2</v>
      </c>
      <c r="AI170" s="220"/>
      <c r="AJ170" s="221" t="str">
        <f t="shared" ref="AJ170:AJ196" si="147">IF(S170&gt;0,"1",IF(Y170&gt;0,"1","2"))</f>
        <v>1</v>
      </c>
      <c r="AK170" s="220" t="str">
        <f t="shared" ref="AK170:AK196" si="148">CONCATENATE(AG170,".",AH170,".",AI170,".",AJ170)</f>
        <v>2.2..1</v>
      </c>
      <c r="AL170" s="229"/>
      <c r="AM170" s="229"/>
      <c r="AN170" s="229"/>
      <c r="AO170" s="229"/>
      <c r="AP170" s="229"/>
      <c r="AQ170" s="229"/>
      <c r="AR170" s="229"/>
      <c r="AS170" s="229"/>
      <c r="AT170" s="229"/>
      <c r="AU170" s="229"/>
      <c r="AV170" s="229"/>
      <c r="AW170" s="229"/>
      <c r="AX170" s="229"/>
      <c r="AY170" s="229"/>
      <c r="AZ170" s="229"/>
      <c r="BA170" s="229"/>
      <c r="BB170" s="229"/>
      <c r="BC170" s="229"/>
      <c r="BD170" s="229"/>
      <c r="BE170" s="229"/>
      <c r="BF170" s="229"/>
      <c r="BG170" s="229"/>
      <c r="BH170" s="229"/>
      <c r="BI170" s="229"/>
    </row>
    <row r="171" spans="1:61" ht="16.5" customHeight="1" outlineLevel="2">
      <c r="A171" s="207">
        <f t="shared" si="138"/>
        <v>156</v>
      </c>
      <c r="B171" s="207">
        <v>2</v>
      </c>
      <c r="C171" s="245" t="s">
        <v>1348</v>
      </c>
      <c r="D171" s="209">
        <v>16767.182243187985</v>
      </c>
      <c r="E171" s="504" t="s">
        <v>104</v>
      </c>
      <c r="F171" s="213">
        <f t="shared" si="139"/>
        <v>1026</v>
      </c>
      <c r="G171" s="207"/>
      <c r="H171" s="284">
        <f t="shared" si="140"/>
        <v>2012</v>
      </c>
      <c r="I171" s="505" t="s">
        <v>588</v>
      </c>
      <c r="J171" s="283">
        <v>1026</v>
      </c>
      <c r="K171" s="283">
        <v>0</v>
      </c>
      <c r="L171" s="283">
        <v>1026</v>
      </c>
      <c r="M171" s="213">
        <f t="shared" si="141"/>
        <v>1026</v>
      </c>
      <c r="N171" s="207"/>
      <c r="O171" s="512" t="s">
        <v>256</v>
      </c>
      <c r="P171" s="230">
        <v>0</v>
      </c>
      <c r="Q171" s="230">
        <v>0</v>
      </c>
      <c r="R171" s="230">
        <v>0</v>
      </c>
      <c r="S171" s="213">
        <f t="shared" si="142"/>
        <v>0</v>
      </c>
      <c r="T171" s="216"/>
      <c r="U171" s="221"/>
      <c r="V171" s="216"/>
      <c r="W171" s="216"/>
      <c r="X171" s="216"/>
      <c r="Y171" s="213">
        <f t="shared" si="143"/>
        <v>0</v>
      </c>
      <c r="Z171" s="222" t="s">
        <v>1129</v>
      </c>
      <c r="AA171" s="228" t="s">
        <v>1160</v>
      </c>
      <c r="AB171" s="218">
        <v>16750.929085359232</v>
      </c>
      <c r="AC171" s="220"/>
      <c r="AD171" s="220"/>
      <c r="AE171" s="220" t="str">
        <f t="shared" si="144"/>
        <v/>
      </c>
      <c r="AF171" s="229"/>
      <c r="AG171" s="220" t="str">
        <f t="shared" si="145"/>
        <v>2</v>
      </c>
      <c r="AH171" s="220" t="str">
        <f t="shared" si="146"/>
        <v>1</v>
      </c>
      <c r="AI171" s="220"/>
      <c r="AJ171" s="221" t="str">
        <f t="shared" si="147"/>
        <v>2</v>
      </c>
      <c r="AK171" s="220" t="str">
        <f t="shared" si="148"/>
        <v>2.1..2</v>
      </c>
      <c r="AL171" s="229"/>
      <c r="AM171" s="229"/>
      <c r="AN171" s="229"/>
      <c r="AO171" s="229"/>
      <c r="AP171" s="229"/>
      <c r="AQ171" s="229"/>
      <c r="AR171" s="229"/>
      <c r="AS171" s="229"/>
      <c r="AT171" s="229"/>
      <c r="AU171" s="229"/>
      <c r="AV171" s="229"/>
      <c r="AW171" s="229"/>
      <c r="AX171" s="229"/>
      <c r="AY171" s="229"/>
      <c r="AZ171" s="229"/>
      <c r="BA171" s="229"/>
      <c r="BB171" s="229"/>
      <c r="BC171" s="229"/>
      <c r="BD171" s="229"/>
      <c r="BE171" s="229"/>
      <c r="BF171" s="229"/>
      <c r="BG171" s="229"/>
      <c r="BH171" s="229"/>
      <c r="BI171" s="229"/>
    </row>
    <row r="172" spans="1:61" ht="16.5" customHeight="1" outlineLevel="2">
      <c r="A172" s="207">
        <f t="shared" si="138"/>
        <v>157</v>
      </c>
      <c r="B172" s="207">
        <v>3</v>
      </c>
      <c r="C172" s="245" t="s">
        <v>1349</v>
      </c>
      <c r="D172" s="209">
        <v>57510.76511166901</v>
      </c>
      <c r="E172" s="504" t="s">
        <v>104</v>
      </c>
      <c r="F172" s="213">
        <f t="shared" si="139"/>
        <v>35244</v>
      </c>
      <c r="G172" s="207"/>
      <c r="H172" s="284">
        <f t="shared" si="140"/>
        <v>2011</v>
      </c>
      <c r="I172" s="505" t="s">
        <v>405</v>
      </c>
      <c r="J172" s="283">
        <v>35244</v>
      </c>
      <c r="K172" s="283">
        <v>0</v>
      </c>
      <c r="L172" s="283">
        <v>35244</v>
      </c>
      <c r="M172" s="213">
        <f t="shared" si="141"/>
        <v>35244</v>
      </c>
      <c r="N172" s="207"/>
      <c r="O172" s="231"/>
      <c r="P172" s="230"/>
      <c r="Q172" s="230"/>
      <c r="R172" s="230"/>
      <c r="S172" s="213">
        <f t="shared" si="142"/>
        <v>0</v>
      </c>
      <c r="T172" s="216"/>
      <c r="U172" s="207"/>
      <c r="V172" s="216"/>
      <c r="W172" s="216"/>
      <c r="X172" s="216"/>
      <c r="Y172" s="213">
        <f t="shared" si="143"/>
        <v>0</v>
      </c>
      <c r="Z172" s="222">
        <v>2021</v>
      </c>
      <c r="AA172" s="228"/>
      <c r="AB172" s="218">
        <v>39183.292876251922</v>
      </c>
      <c r="AC172" s="220"/>
      <c r="AD172" s="220"/>
      <c r="AE172" s="220" t="str">
        <f t="shared" si="144"/>
        <v/>
      </c>
      <c r="AF172" s="229"/>
      <c r="AG172" s="220" t="str">
        <f t="shared" si="145"/>
        <v>2</v>
      </c>
      <c r="AH172" s="220" t="str">
        <f t="shared" si="146"/>
        <v>1</v>
      </c>
      <c r="AI172" s="220"/>
      <c r="AJ172" s="221" t="str">
        <f t="shared" si="147"/>
        <v>2</v>
      </c>
      <c r="AK172" s="220" t="str">
        <f t="shared" si="148"/>
        <v>2.1..2</v>
      </c>
      <c r="AL172" s="229"/>
      <c r="AM172" s="229"/>
      <c r="AN172" s="229"/>
      <c r="AO172" s="229"/>
      <c r="AP172" s="229"/>
      <c r="AQ172" s="229"/>
      <c r="AR172" s="229"/>
      <c r="AS172" s="229"/>
      <c r="AT172" s="229"/>
      <c r="AU172" s="229"/>
      <c r="AV172" s="229"/>
      <c r="AW172" s="229"/>
      <c r="AX172" s="229"/>
      <c r="AY172" s="229"/>
      <c r="AZ172" s="229"/>
      <c r="BA172" s="229"/>
      <c r="BB172" s="229"/>
      <c r="BC172" s="229"/>
      <c r="BD172" s="229"/>
      <c r="BE172" s="229"/>
      <c r="BF172" s="229"/>
      <c r="BG172" s="229"/>
      <c r="BH172" s="229"/>
      <c r="BI172" s="229"/>
    </row>
    <row r="173" spans="1:61" ht="16.5" customHeight="1" outlineLevel="2">
      <c r="A173" s="207">
        <f t="shared" si="138"/>
        <v>158</v>
      </c>
      <c r="B173" s="207">
        <v>4</v>
      </c>
      <c r="C173" s="245" t="s">
        <v>1350</v>
      </c>
      <c r="D173" s="209">
        <v>46141.358702081998</v>
      </c>
      <c r="E173" s="504" t="s">
        <v>104</v>
      </c>
      <c r="F173" s="213">
        <f t="shared" si="139"/>
        <v>46500</v>
      </c>
      <c r="G173" s="207"/>
      <c r="H173" s="282">
        <f t="shared" si="140"/>
        <v>2016</v>
      </c>
      <c r="I173" s="505" t="s">
        <v>1351</v>
      </c>
      <c r="J173" s="283"/>
      <c r="K173" s="283"/>
      <c r="L173" s="283"/>
      <c r="M173" s="213">
        <f t="shared" si="141"/>
        <v>0</v>
      </c>
      <c r="N173" s="207"/>
      <c r="O173" s="231" t="s">
        <v>256</v>
      </c>
      <c r="P173" s="230">
        <v>46500</v>
      </c>
      <c r="Q173" s="230">
        <v>0</v>
      </c>
      <c r="R173" s="230">
        <v>46500</v>
      </c>
      <c r="S173" s="213">
        <f t="shared" si="142"/>
        <v>46500</v>
      </c>
      <c r="T173" s="216"/>
      <c r="U173" s="207"/>
      <c r="V173" s="216"/>
      <c r="W173" s="216"/>
      <c r="X173" s="216"/>
      <c r="Y173" s="213">
        <f t="shared" si="143"/>
        <v>0</v>
      </c>
      <c r="Z173" s="222" t="s">
        <v>1097</v>
      </c>
      <c r="AA173" s="228"/>
      <c r="AB173" s="218">
        <v>38130.305316556944</v>
      </c>
      <c r="AC173" s="220"/>
      <c r="AD173" s="220"/>
      <c r="AE173" s="220" t="str">
        <f t="shared" si="144"/>
        <v/>
      </c>
      <c r="AF173" s="229"/>
      <c r="AG173" s="220" t="str">
        <f t="shared" si="145"/>
        <v>2</v>
      </c>
      <c r="AH173" s="220" t="str">
        <f t="shared" si="146"/>
        <v>2</v>
      </c>
      <c r="AI173" s="220"/>
      <c r="AJ173" s="221" t="str">
        <f t="shared" si="147"/>
        <v>1</v>
      </c>
      <c r="AK173" s="220" t="str">
        <f t="shared" si="148"/>
        <v>2.2..1</v>
      </c>
      <c r="AL173" s="229"/>
      <c r="AM173" s="229"/>
      <c r="AN173" s="229"/>
      <c r="AO173" s="229"/>
      <c r="AP173" s="229"/>
      <c r="AQ173" s="229"/>
      <c r="AR173" s="229"/>
      <c r="AS173" s="229"/>
      <c r="AT173" s="229"/>
      <c r="AU173" s="229"/>
      <c r="AV173" s="229"/>
      <c r="AW173" s="229"/>
      <c r="AX173" s="229"/>
      <c r="AY173" s="229"/>
      <c r="AZ173" s="229"/>
      <c r="BA173" s="229"/>
      <c r="BB173" s="229"/>
      <c r="BC173" s="229"/>
      <c r="BD173" s="229"/>
      <c r="BE173" s="229"/>
      <c r="BF173" s="229"/>
      <c r="BG173" s="229"/>
      <c r="BH173" s="229"/>
      <c r="BI173" s="229"/>
    </row>
    <row r="174" spans="1:61" ht="16.5" customHeight="1" outlineLevel="2">
      <c r="A174" s="207">
        <f t="shared" si="138"/>
        <v>159</v>
      </c>
      <c r="B174" s="207">
        <v>5</v>
      </c>
      <c r="C174" s="245" t="s">
        <v>1352</v>
      </c>
      <c r="D174" s="209">
        <v>31300.381601643003</v>
      </c>
      <c r="E174" s="504" t="s">
        <v>91</v>
      </c>
      <c r="F174" s="213">
        <f>Y174</f>
        <v>33071.949999999997</v>
      </c>
      <c r="G174" s="207"/>
      <c r="H174" s="284">
        <f t="shared" si="140"/>
        <v>2012</v>
      </c>
      <c r="I174" s="505" t="s">
        <v>1256</v>
      </c>
      <c r="J174" s="283">
        <v>17815</v>
      </c>
      <c r="K174" s="283">
        <v>0</v>
      </c>
      <c r="L174" s="283">
        <v>17815</v>
      </c>
      <c r="M174" s="213">
        <f t="shared" si="141"/>
        <v>17815</v>
      </c>
      <c r="N174" s="207"/>
      <c r="O174" s="512" t="s">
        <v>321</v>
      </c>
      <c r="P174" s="230">
        <v>17815</v>
      </c>
      <c r="Q174" s="230">
        <v>0</v>
      </c>
      <c r="R174" s="230">
        <v>17815</v>
      </c>
      <c r="S174" s="213">
        <f t="shared" si="142"/>
        <v>17815</v>
      </c>
      <c r="T174" s="216" t="s">
        <v>1076</v>
      </c>
      <c r="U174" s="285" t="s">
        <v>408</v>
      </c>
      <c r="V174" s="276">
        <v>27962.19</v>
      </c>
      <c r="W174" s="277">
        <v>5109.76</v>
      </c>
      <c r="X174" s="276">
        <f>SUM(V174:W174)</f>
        <v>33071.949999999997</v>
      </c>
      <c r="Y174" s="213">
        <f t="shared" si="143"/>
        <v>33071.949999999997</v>
      </c>
      <c r="Z174" s="222">
        <v>2021</v>
      </c>
      <c r="AA174" s="228"/>
      <c r="AB174" s="218">
        <v>31130.833587438119</v>
      </c>
      <c r="AC174" s="220"/>
      <c r="AD174" s="220"/>
      <c r="AE174" s="220" t="str">
        <f t="shared" si="144"/>
        <v>V</v>
      </c>
      <c r="AF174" s="229"/>
      <c r="AG174" s="220" t="str">
        <f t="shared" si="145"/>
        <v>2</v>
      </c>
      <c r="AH174" s="220" t="str">
        <f t="shared" si="146"/>
        <v>1</v>
      </c>
      <c r="AI174" s="220"/>
      <c r="AJ174" s="221" t="str">
        <f t="shared" si="147"/>
        <v>1</v>
      </c>
      <c r="AK174" s="220" t="str">
        <f t="shared" si="148"/>
        <v>2.1..1</v>
      </c>
      <c r="AL174" s="229"/>
      <c r="AM174" s="229"/>
      <c r="AN174" s="229"/>
      <c r="AO174" s="229"/>
      <c r="AP174" s="229"/>
      <c r="AQ174" s="229"/>
      <c r="AR174" s="229"/>
      <c r="AS174" s="229"/>
      <c r="AT174" s="229"/>
      <c r="AU174" s="229"/>
      <c r="AV174" s="229"/>
      <c r="AW174" s="229"/>
      <c r="AX174" s="229"/>
      <c r="AY174" s="229"/>
      <c r="AZ174" s="229"/>
      <c r="BA174" s="229"/>
      <c r="BB174" s="229"/>
      <c r="BC174" s="229"/>
      <c r="BD174" s="229"/>
      <c r="BE174" s="229"/>
      <c r="BF174" s="229"/>
      <c r="BG174" s="229"/>
      <c r="BH174" s="229"/>
      <c r="BI174" s="229"/>
    </row>
    <row r="175" spans="1:61" ht="16.5" customHeight="1" outlineLevel="2">
      <c r="A175" s="207">
        <f t="shared" si="138"/>
        <v>160</v>
      </c>
      <c r="B175" s="207">
        <v>6</v>
      </c>
      <c r="C175" s="245" t="s">
        <v>1353</v>
      </c>
      <c r="D175" s="209">
        <v>67510.813003902484</v>
      </c>
      <c r="E175" s="504" t="s">
        <v>91</v>
      </c>
      <c r="F175" s="213">
        <f>IF(M175&gt;0,M175,IF(S175&gt;0,S175,IF(Y175&gt;0,Y175,0)))</f>
        <v>53615.47</v>
      </c>
      <c r="G175" s="207"/>
      <c r="H175" s="282">
        <f t="shared" si="140"/>
        <v>2012</v>
      </c>
      <c r="I175" s="505" t="s">
        <v>1354</v>
      </c>
      <c r="J175" s="283"/>
      <c r="K175" s="283"/>
      <c r="L175" s="283"/>
      <c r="M175" s="213">
        <f t="shared" si="141"/>
        <v>0</v>
      </c>
      <c r="N175" s="207"/>
      <c r="O175" s="505" t="s">
        <v>1355</v>
      </c>
      <c r="P175" s="230">
        <v>0</v>
      </c>
      <c r="Q175" s="230">
        <v>0</v>
      </c>
      <c r="R175" s="230">
        <v>0</v>
      </c>
      <c r="S175" s="213">
        <f t="shared" si="142"/>
        <v>0</v>
      </c>
      <c r="T175" s="216" t="s">
        <v>1076</v>
      </c>
      <c r="U175" s="513" t="s">
        <v>410</v>
      </c>
      <c r="V175" s="275">
        <v>53615.47</v>
      </c>
      <c r="W175" s="275"/>
      <c r="X175" s="275">
        <v>53615.47</v>
      </c>
      <c r="Y175" s="213">
        <f t="shared" si="143"/>
        <v>53615.47</v>
      </c>
      <c r="Z175" s="222">
        <v>2021</v>
      </c>
      <c r="AA175" s="228"/>
      <c r="AB175" s="218">
        <v>61483.021588675649</v>
      </c>
      <c r="AC175" s="220"/>
      <c r="AD175" s="220"/>
      <c r="AE175" s="220" t="str">
        <f t="shared" si="144"/>
        <v>V</v>
      </c>
      <c r="AF175" s="229"/>
      <c r="AG175" s="220" t="str">
        <f t="shared" si="145"/>
        <v>2</v>
      </c>
      <c r="AH175" s="220" t="str">
        <f t="shared" si="146"/>
        <v>2</v>
      </c>
      <c r="AI175" s="220"/>
      <c r="AJ175" s="221" t="str">
        <f t="shared" si="147"/>
        <v>1</v>
      </c>
      <c r="AK175" s="220" t="str">
        <f t="shared" si="148"/>
        <v>2.2..1</v>
      </c>
      <c r="AL175" s="229"/>
      <c r="AM175" s="229"/>
      <c r="AN175" s="229"/>
      <c r="AO175" s="229"/>
      <c r="AP175" s="229"/>
      <c r="AQ175" s="229"/>
      <c r="AR175" s="229"/>
      <c r="AS175" s="229"/>
      <c r="AT175" s="229"/>
      <c r="AU175" s="229"/>
      <c r="AV175" s="229"/>
      <c r="AW175" s="229"/>
      <c r="AX175" s="229"/>
      <c r="AY175" s="229"/>
      <c r="AZ175" s="229"/>
      <c r="BA175" s="229"/>
      <c r="BB175" s="229"/>
      <c r="BC175" s="229"/>
      <c r="BD175" s="229"/>
      <c r="BE175" s="229"/>
      <c r="BF175" s="229"/>
      <c r="BG175" s="229"/>
      <c r="BH175" s="229"/>
      <c r="BI175" s="229"/>
    </row>
    <row r="176" spans="1:61" ht="16.5" customHeight="1" outlineLevel="2">
      <c r="A176" s="207">
        <f t="shared" si="138"/>
        <v>161</v>
      </c>
      <c r="B176" s="207">
        <v>7</v>
      </c>
      <c r="C176" s="245" t="s">
        <v>1356</v>
      </c>
      <c r="D176" s="209">
        <v>53396.24363379123</v>
      </c>
      <c r="E176" s="504" t="s">
        <v>91</v>
      </c>
      <c r="F176" s="213">
        <f>Y176</f>
        <v>40000</v>
      </c>
      <c r="G176" s="207"/>
      <c r="H176" s="284">
        <f t="shared" si="140"/>
        <v>2018</v>
      </c>
      <c r="I176" s="505" t="s">
        <v>412</v>
      </c>
      <c r="J176" s="283">
        <v>40000</v>
      </c>
      <c r="K176" s="283">
        <v>3000</v>
      </c>
      <c r="L176" s="283">
        <v>43000</v>
      </c>
      <c r="M176" s="213">
        <f t="shared" si="141"/>
        <v>43000</v>
      </c>
      <c r="N176" s="207"/>
      <c r="O176" s="286" t="s">
        <v>187</v>
      </c>
      <c r="P176" s="230"/>
      <c r="Q176" s="230"/>
      <c r="R176" s="230"/>
      <c r="S176" s="213">
        <f t="shared" si="142"/>
        <v>0</v>
      </c>
      <c r="T176" s="216" t="s">
        <v>1076</v>
      </c>
      <c r="U176" s="514" t="s">
        <v>1357</v>
      </c>
      <c r="V176" s="275">
        <v>40000</v>
      </c>
      <c r="W176" s="275">
        <v>0</v>
      </c>
      <c r="X176" s="275">
        <v>40000</v>
      </c>
      <c r="Y176" s="213">
        <f t="shared" si="143"/>
        <v>40000</v>
      </c>
      <c r="Z176" s="222">
        <v>2023</v>
      </c>
      <c r="AA176" s="228" t="s">
        <v>1160</v>
      </c>
      <c r="AB176" s="218">
        <v>52236.435840853774</v>
      </c>
      <c r="AC176" s="220"/>
      <c r="AD176" s="220"/>
      <c r="AE176" s="220" t="str">
        <f t="shared" si="144"/>
        <v>V</v>
      </c>
      <c r="AF176" s="229"/>
      <c r="AG176" s="220" t="str">
        <f t="shared" si="145"/>
        <v>2</v>
      </c>
      <c r="AH176" s="220" t="str">
        <f t="shared" si="146"/>
        <v>1</v>
      </c>
      <c r="AI176" s="220"/>
      <c r="AJ176" s="221" t="str">
        <f t="shared" si="147"/>
        <v>1</v>
      </c>
      <c r="AK176" s="220" t="str">
        <f t="shared" si="148"/>
        <v>2.1..1</v>
      </c>
      <c r="AL176" s="229"/>
      <c r="AM176" s="229"/>
      <c r="AN176" s="229"/>
      <c r="AO176" s="229"/>
      <c r="AP176" s="229"/>
      <c r="AQ176" s="229"/>
      <c r="AR176" s="229"/>
      <c r="AS176" s="229"/>
      <c r="AT176" s="229"/>
      <c r="AU176" s="229"/>
      <c r="AV176" s="229"/>
      <c r="AW176" s="229"/>
      <c r="AX176" s="229"/>
      <c r="AY176" s="229"/>
      <c r="AZ176" s="229"/>
      <c r="BA176" s="229"/>
      <c r="BB176" s="229"/>
      <c r="BC176" s="229"/>
      <c r="BD176" s="229"/>
      <c r="BE176" s="229"/>
      <c r="BF176" s="229"/>
      <c r="BG176" s="229"/>
      <c r="BH176" s="229"/>
      <c r="BI176" s="229"/>
    </row>
    <row r="177" spans="1:61" ht="16.5" customHeight="1" outlineLevel="2">
      <c r="A177" s="207">
        <f t="shared" si="138"/>
        <v>162</v>
      </c>
      <c r="B177" s="207">
        <v>8</v>
      </c>
      <c r="C177" s="245" t="s">
        <v>1358</v>
      </c>
      <c r="D177" s="209">
        <v>42718.659462992306</v>
      </c>
      <c r="E177" s="504" t="s">
        <v>91</v>
      </c>
      <c r="F177" s="213">
        <f>IF(M177&gt;0,M177,IF(S177&gt;0,S177,IF(Y177&gt;0,Y177,0)))</f>
        <v>44028</v>
      </c>
      <c r="G177" s="227" t="s">
        <v>1076</v>
      </c>
      <c r="H177" s="284">
        <f t="shared" si="140"/>
        <v>2019</v>
      </c>
      <c r="I177" s="505" t="s">
        <v>311</v>
      </c>
      <c r="J177" s="230">
        <v>44028</v>
      </c>
      <c r="K177" s="230">
        <v>0</v>
      </c>
      <c r="L177" s="230">
        <v>44028</v>
      </c>
      <c r="M177" s="213">
        <f t="shared" si="141"/>
        <v>44028</v>
      </c>
      <c r="N177" s="207"/>
      <c r="O177" s="512" t="s">
        <v>926</v>
      </c>
      <c r="P177" s="230">
        <v>1437</v>
      </c>
      <c r="Q177" s="230">
        <v>0</v>
      </c>
      <c r="R177" s="230">
        <v>1437</v>
      </c>
      <c r="S177" s="213">
        <f t="shared" si="142"/>
        <v>1437</v>
      </c>
      <c r="T177" s="216"/>
      <c r="U177" s="287"/>
      <c r="V177" s="275"/>
      <c r="W177" s="275"/>
      <c r="X177" s="275"/>
      <c r="Y177" s="213">
        <f t="shared" si="143"/>
        <v>0</v>
      </c>
      <c r="Z177" s="222">
        <v>2020</v>
      </c>
      <c r="AA177" s="228"/>
      <c r="AB177" s="218">
        <v>44458.37328291039</v>
      </c>
      <c r="AC177" s="220"/>
      <c r="AD177" s="220"/>
      <c r="AE177" s="220" t="str">
        <f t="shared" si="144"/>
        <v>V</v>
      </c>
      <c r="AF177" s="229"/>
      <c r="AG177" s="220" t="str">
        <f t="shared" si="145"/>
        <v>1</v>
      </c>
      <c r="AH177" s="220" t="str">
        <f t="shared" si="146"/>
        <v>1</v>
      </c>
      <c r="AI177" s="220"/>
      <c r="AJ177" s="221" t="str">
        <f t="shared" si="147"/>
        <v>1</v>
      </c>
      <c r="AK177" s="220" t="str">
        <f t="shared" si="148"/>
        <v>1.1..1</v>
      </c>
      <c r="AL177" s="229"/>
      <c r="AM177" s="229"/>
      <c r="AN177" s="229"/>
      <c r="AO177" s="229"/>
      <c r="AP177" s="229"/>
      <c r="AQ177" s="229"/>
      <c r="AR177" s="229"/>
      <c r="AS177" s="229"/>
      <c r="AT177" s="229"/>
      <c r="AU177" s="229"/>
      <c r="AV177" s="229"/>
      <c r="AW177" s="229"/>
      <c r="AX177" s="229"/>
      <c r="AY177" s="229"/>
      <c r="AZ177" s="229"/>
      <c r="BA177" s="229"/>
      <c r="BB177" s="229"/>
      <c r="BC177" s="229"/>
      <c r="BD177" s="229"/>
      <c r="BE177" s="229"/>
      <c r="BF177" s="229"/>
      <c r="BG177" s="229"/>
      <c r="BH177" s="229"/>
      <c r="BI177" s="229"/>
    </row>
    <row r="178" spans="1:61" ht="16.5" customHeight="1" outlineLevel="2">
      <c r="A178" s="207">
        <f t="shared" si="138"/>
        <v>163</v>
      </c>
      <c r="B178" s="207">
        <v>9</v>
      </c>
      <c r="C178" s="245" t="s">
        <v>1359</v>
      </c>
      <c r="D178" s="209">
        <v>122920.09722636723</v>
      </c>
      <c r="E178" s="504" t="s">
        <v>91</v>
      </c>
      <c r="F178" s="213">
        <f>Y178</f>
        <v>84684</v>
      </c>
      <c r="G178" s="207"/>
      <c r="H178" s="282">
        <f t="shared" si="140"/>
        <v>2012</v>
      </c>
      <c r="I178" s="505" t="s">
        <v>315</v>
      </c>
      <c r="J178" s="283">
        <v>92370</v>
      </c>
      <c r="K178" s="283">
        <v>0</v>
      </c>
      <c r="L178" s="283">
        <v>92370</v>
      </c>
      <c r="M178" s="213">
        <f t="shared" si="141"/>
        <v>92370</v>
      </c>
      <c r="N178" s="207"/>
      <c r="O178" s="253" t="s">
        <v>913</v>
      </c>
      <c r="P178" s="230">
        <v>0</v>
      </c>
      <c r="Q178" s="230">
        <v>0</v>
      </c>
      <c r="R178" s="230">
        <v>0</v>
      </c>
      <c r="S178" s="213">
        <f t="shared" si="142"/>
        <v>0</v>
      </c>
      <c r="T178" s="216" t="s">
        <v>1076</v>
      </c>
      <c r="U178" s="515" t="s">
        <v>415</v>
      </c>
      <c r="V178" s="275">
        <v>84684</v>
      </c>
      <c r="W178" s="275"/>
      <c r="X178" s="275"/>
      <c r="Y178" s="213">
        <f t="shared" si="143"/>
        <v>84684</v>
      </c>
      <c r="Z178" s="222">
        <v>2022</v>
      </c>
      <c r="AA178" s="228"/>
      <c r="AB178" s="218">
        <v>124162.68927350866</v>
      </c>
      <c r="AC178" s="220"/>
      <c r="AD178" s="220"/>
      <c r="AE178" s="220" t="str">
        <f t="shared" si="144"/>
        <v>V</v>
      </c>
      <c r="AF178" s="229"/>
      <c r="AG178" s="220" t="str">
        <f t="shared" si="145"/>
        <v>2</v>
      </c>
      <c r="AH178" s="220" t="str">
        <f t="shared" si="146"/>
        <v>1</v>
      </c>
      <c r="AI178" s="220"/>
      <c r="AJ178" s="221" t="str">
        <f t="shared" si="147"/>
        <v>1</v>
      </c>
      <c r="AK178" s="220" t="str">
        <f t="shared" si="148"/>
        <v>2.1..1</v>
      </c>
      <c r="AL178" s="229"/>
      <c r="AM178" s="229"/>
      <c r="AN178" s="229"/>
      <c r="AO178" s="229"/>
      <c r="AP178" s="229"/>
      <c r="AQ178" s="229"/>
      <c r="AR178" s="229"/>
      <c r="AS178" s="229"/>
      <c r="AT178" s="229"/>
      <c r="AU178" s="229"/>
      <c r="AV178" s="229"/>
      <c r="AW178" s="229"/>
      <c r="AX178" s="229"/>
      <c r="AY178" s="229"/>
      <c r="AZ178" s="229"/>
      <c r="BA178" s="229"/>
      <c r="BB178" s="229"/>
      <c r="BC178" s="229"/>
      <c r="BD178" s="229"/>
      <c r="BE178" s="229"/>
      <c r="BF178" s="229"/>
      <c r="BG178" s="229"/>
      <c r="BH178" s="229"/>
      <c r="BI178" s="229"/>
    </row>
    <row r="179" spans="1:61" ht="16.5" customHeight="1" outlineLevel="2">
      <c r="A179" s="207">
        <f t="shared" si="138"/>
        <v>164</v>
      </c>
      <c r="B179" s="207">
        <v>10</v>
      </c>
      <c r="C179" s="245" t="s">
        <v>1360</v>
      </c>
      <c r="D179" s="209">
        <v>101961.77500078136</v>
      </c>
      <c r="E179" s="504" t="s">
        <v>91</v>
      </c>
      <c r="F179" s="213">
        <f t="shared" ref="F179:F185" si="149">IF(M179&gt;0,M179,IF(S179&gt;0,S179,IF(Y179&gt;0,Y179,0)))</f>
        <v>85339</v>
      </c>
      <c r="G179" s="207"/>
      <c r="H179" s="282">
        <f t="shared" si="140"/>
        <v>2013</v>
      </c>
      <c r="I179" s="505" t="s">
        <v>167</v>
      </c>
      <c r="J179" s="283"/>
      <c r="K179" s="283"/>
      <c r="L179" s="283"/>
      <c r="M179" s="213">
        <f t="shared" si="141"/>
        <v>0</v>
      </c>
      <c r="N179" s="207"/>
      <c r="O179" s="231" t="s">
        <v>151</v>
      </c>
      <c r="P179" s="230">
        <v>85339</v>
      </c>
      <c r="Q179" s="288">
        <v>1914</v>
      </c>
      <c r="R179" s="230">
        <v>85339</v>
      </c>
      <c r="S179" s="213">
        <f t="shared" si="142"/>
        <v>85339</v>
      </c>
      <c r="T179" s="216" t="s">
        <v>1076</v>
      </c>
      <c r="U179" s="515" t="s">
        <v>417</v>
      </c>
      <c r="V179" s="275">
        <v>85339</v>
      </c>
      <c r="W179" s="275">
        <v>1914.1</v>
      </c>
      <c r="X179" s="275"/>
      <c r="Y179" s="213">
        <f t="shared" si="143"/>
        <v>85339</v>
      </c>
      <c r="Z179" s="222">
        <v>2022</v>
      </c>
      <c r="AA179" s="228"/>
      <c r="AB179" s="218">
        <v>95667.449490817191</v>
      </c>
      <c r="AC179" s="220"/>
      <c r="AD179" s="220"/>
      <c r="AE179" s="220" t="str">
        <f t="shared" si="144"/>
        <v>V</v>
      </c>
      <c r="AF179" s="229"/>
      <c r="AG179" s="220" t="str">
        <f t="shared" si="145"/>
        <v>2</v>
      </c>
      <c r="AH179" s="220" t="str">
        <f t="shared" si="146"/>
        <v>2</v>
      </c>
      <c r="AI179" s="220"/>
      <c r="AJ179" s="221" t="str">
        <f t="shared" si="147"/>
        <v>1</v>
      </c>
      <c r="AK179" s="220" t="str">
        <f t="shared" si="148"/>
        <v>2.2..1</v>
      </c>
      <c r="AL179" s="229"/>
      <c r="AM179" s="229"/>
      <c r="AN179" s="229"/>
      <c r="AO179" s="229"/>
      <c r="AP179" s="229"/>
      <c r="AQ179" s="229"/>
      <c r="AR179" s="229"/>
      <c r="AS179" s="229"/>
      <c r="AT179" s="229"/>
      <c r="AU179" s="229"/>
      <c r="AV179" s="229"/>
      <c r="AW179" s="229"/>
      <c r="AX179" s="229"/>
      <c r="AY179" s="229"/>
      <c r="AZ179" s="229"/>
      <c r="BA179" s="229"/>
      <c r="BB179" s="229"/>
      <c r="BC179" s="229"/>
      <c r="BD179" s="229"/>
      <c r="BE179" s="229"/>
      <c r="BF179" s="229"/>
      <c r="BG179" s="229"/>
      <c r="BH179" s="229"/>
      <c r="BI179" s="229"/>
    </row>
    <row r="180" spans="1:61" ht="16.5" customHeight="1" outlineLevel="2">
      <c r="A180" s="207">
        <f t="shared" si="138"/>
        <v>165</v>
      </c>
      <c r="B180" s="207">
        <v>11</v>
      </c>
      <c r="C180" s="245" t="s">
        <v>1361</v>
      </c>
      <c r="D180" s="209">
        <v>1009.3719792299997</v>
      </c>
      <c r="E180" s="504" t="s">
        <v>123</v>
      </c>
      <c r="F180" s="213">
        <f t="shared" si="149"/>
        <v>0</v>
      </c>
      <c r="G180" s="207"/>
      <c r="H180" s="282">
        <f t="shared" si="140"/>
        <v>2011</v>
      </c>
      <c r="I180" s="505" t="s">
        <v>1362</v>
      </c>
      <c r="J180" s="283"/>
      <c r="K180" s="283"/>
      <c r="L180" s="283"/>
      <c r="M180" s="213">
        <f t="shared" si="141"/>
        <v>0</v>
      </c>
      <c r="N180" s="207"/>
      <c r="O180" s="231"/>
      <c r="P180" s="230"/>
      <c r="Q180" s="230"/>
      <c r="R180" s="230"/>
      <c r="S180" s="213">
        <f t="shared" si="142"/>
        <v>0</v>
      </c>
      <c r="T180" s="216"/>
      <c r="U180" s="275"/>
      <c r="V180" s="275"/>
      <c r="W180" s="275"/>
      <c r="X180" s="275"/>
      <c r="Y180" s="213">
        <f t="shared" si="143"/>
        <v>0</v>
      </c>
      <c r="Z180" s="222" t="s">
        <v>1097</v>
      </c>
      <c r="AA180" s="228"/>
      <c r="AB180" s="218">
        <v>673.30910732664995</v>
      </c>
      <c r="AC180" s="220"/>
      <c r="AD180" s="220"/>
      <c r="AE180" s="220" t="str">
        <f t="shared" si="144"/>
        <v/>
      </c>
      <c r="AF180" s="229"/>
      <c r="AG180" s="220" t="str">
        <f t="shared" si="145"/>
        <v>2</v>
      </c>
      <c r="AH180" s="220" t="str">
        <f t="shared" si="146"/>
        <v>2</v>
      </c>
      <c r="AI180" s="220"/>
      <c r="AJ180" s="221" t="str">
        <f t="shared" si="147"/>
        <v>2</v>
      </c>
      <c r="AK180" s="220" t="str">
        <f t="shared" si="148"/>
        <v>2.2..2</v>
      </c>
      <c r="AL180" s="229"/>
      <c r="AM180" s="229"/>
      <c r="AN180" s="229"/>
      <c r="AO180" s="229"/>
      <c r="AP180" s="229"/>
      <c r="AQ180" s="229"/>
      <c r="AR180" s="229"/>
      <c r="AS180" s="229"/>
      <c r="AT180" s="229"/>
      <c r="AU180" s="229"/>
      <c r="AV180" s="229"/>
      <c r="AW180" s="229"/>
      <c r="AX180" s="229"/>
      <c r="AY180" s="229"/>
      <c r="AZ180" s="229"/>
      <c r="BA180" s="229"/>
      <c r="BB180" s="229"/>
      <c r="BC180" s="229"/>
      <c r="BD180" s="229"/>
      <c r="BE180" s="229"/>
      <c r="BF180" s="229"/>
      <c r="BG180" s="229"/>
      <c r="BH180" s="229"/>
      <c r="BI180" s="229"/>
    </row>
    <row r="181" spans="1:61" ht="16.5" customHeight="1" outlineLevel="2">
      <c r="A181" s="207">
        <f t="shared" si="138"/>
        <v>166</v>
      </c>
      <c r="B181" s="207">
        <v>12</v>
      </c>
      <c r="C181" s="245" t="s">
        <v>1363</v>
      </c>
      <c r="D181" s="209">
        <v>3106.7060016591186</v>
      </c>
      <c r="E181" s="504" t="s">
        <v>104</v>
      </c>
      <c r="F181" s="213">
        <f t="shared" si="149"/>
        <v>1444.35</v>
      </c>
      <c r="G181" s="207"/>
      <c r="H181" s="282">
        <f t="shared" si="140"/>
        <v>2014</v>
      </c>
      <c r="I181" s="505" t="s">
        <v>709</v>
      </c>
      <c r="J181" s="283">
        <v>1444.35</v>
      </c>
      <c r="K181" s="283">
        <v>0</v>
      </c>
      <c r="L181" s="283">
        <v>1444.35</v>
      </c>
      <c r="M181" s="213">
        <f t="shared" si="141"/>
        <v>1444.35</v>
      </c>
      <c r="N181" s="207"/>
      <c r="O181" s="231"/>
      <c r="P181" s="230"/>
      <c r="Q181" s="230"/>
      <c r="R181" s="230"/>
      <c r="S181" s="213">
        <f t="shared" si="142"/>
        <v>0</v>
      </c>
      <c r="T181" s="216"/>
      <c r="U181" s="275"/>
      <c r="V181" s="275"/>
      <c r="W181" s="275"/>
      <c r="X181" s="275"/>
      <c r="Y181" s="213">
        <f t="shared" si="143"/>
        <v>0</v>
      </c>
      <c r="Z181" s="222" t="s">
        <v>1097</v>
      </c>
      <c r="AA181" s="228"/>
      <c r="AB181" s="218">
        <v>3088.0169211437178</v>
      </c>
      <c r="AC181" s="220"/>
      <c r="AD181" s="220"/>
      <c r="AE181" s="220" t="str">
        <f t="shared" si="144"/>
        <v/>
      </c>
      <c r="AF181" s="229"/>
      <c r="AG181" s="220" t="str">
        <f t="shared" si="145"/>
        <v>2</v>
      </c>
      <c r="AH181" s="220" t="str">
        <f t="shared" si="146"/>
        <v>1</v>
      </c>
      <c r="AI181" s="220"/>
      <c r="AJ181" s="221" t="str">
        <f t="shared" si="147"/>
        <v>2</v>
      </c>
      <c r="AK181" s="220" t="str">
        <f t="shared" si="148"/>
        <v>2.1..2</v>
      </c>
      <c r="AL181" s="229"/>
      <c r="AM181" s="229"/>
      <c r="AN181" s="229"/>
      <c r="AO181" s="229"/>
      <c r="AP181" s="229"/>
      <c r="AQ181" s="229"/>
      <c r="AR181" s="229"/>
      <c r="AS181" s="229"/>
      <c r="AT181" s="229"/>
      <c r="AU181" s="229"/>
      <c r="AV181" s="229"/>
      <c r="AW181" s="229"/>
      <c r="AX181" s="229"/>
      <c r="AY181" s="229"/>
      <c r="AZ181" s="229"/>
      <c r="BA181" s="229"/>
      <c r="BB181" s="229"/>
      <c r="BC181" s="229"/>
      <c r="BD181" s="229"/>
      <c r="BE181" s="229"/>
      <c r="BF181" s="229"/>
      <c r="BG181" s="229"/>
      <c r="BH181" s="229"/>
      <c r="BI181" s="229"/>
    </row>
    <row r="182" spans="1:61" ht="16.5" customHeight="1" outlineLevel="2">
      <c r="A182" s="207">
        <f t="shared" si="138"/>
        <v>167</v>
      </c>
      <c r="B182" s="207">
        <v>13</v>
      </c>
      <c r="C182" s="245" t="s">
        <v>1364</v>
      </c>
      <c r="D182" s="209">
        <v>531.61792129010007</v>
      </c>
      <c r="E182" s="504" t="s">
        <v>123</v>
      </c>
      <c r="F182" s="213">
        <f t="shared" si="149"/>
        <v>0</v>
      </c>
      <c r="G182" s="207"/>
      <c r="H182" s="282">
        <f t="shared" si="140"/>
        <v>2011</v>
      </c>
      <c r="I182" s="505" t="s">
        <v>1365</v>
      </c>
      <c r="J182" s="283"/>
      <c r="K182" s="283"/>
      <c r="L182" s="283"/>
      <c r="M182" s="213">
        <f t="shared" si="141"/>
        <v>0</v>
      </c>
      <c r="N182" s="207"/>
      <c r="O182" s="231"/>
      <c r="P182" s="230"/>
      <c r="Q182" s="230"/>
      <c r="R182" s="230"/>
      <c r="S182" s="213">
        <f t="shared" si="142"/>
        <v>0</v>
      </c>
      <c r="T182" s="216"/>
      <c r="U182" s="275"/>
      <c r="V182" s="275"/>
      <c r="W182" s="275"/>
      <c r="X182" s="275"/>
      <c r="Y182" s="213">
        <f t="shared" si="143"/>
        <v>0</v>
      </c>
      <c r="Z182" s="222" t="s">
        <v>1097</v>
      </c>
      <c r="AA182" s="228"/>
      <c r="AB182" s="218">
        <v>340.51767940713728</v>
      </c>
      <c r="AC182" s="220"/>
      <c r="AD182" s="220"/>
      <c r="AE182" s="220" t="str">
        <f t="shared" si="144"/>
        <v/>
      </c>
      <c r="AF182" s="229"/>
      <c r="AG182" s="220" t="str">
        <f t="shared" si="145"/>
        <v>2</v>
      </c>
      <c r="AH182" s="220" t="str">
        <f t="shared" si="146"/>
        <v>2</v>
      </c>
      <c r="AI182" s="220"/>
      <c r="AJ182" s="221" t="str">
        <f t="shared" si="147"/>
        <v>2</v>
      </c>
      <c r="AK182" s="220" t="str">
        <f t="shared" si="148"/>
        <v>2.2..2</v>
      </c>
      <c r="AL182" s="229"/>
      <c r="AM182" s="229"/>
      <c r="AN182" s="229"/>
      <c r="AO182" s="229"/>
      <c r="AP182" s="229"/>
      <c r="AQ182" s="229"/>
      <c r="AR182" s="229"/>
      <c r="AS182" s="229"/>
      <c r="AT182" s="229"/>
      <c r="AU182" s="229"/>
      <c r="AV182" s="229"/>
      <c r="AW182" s="229"/>
      <c r="AX182" s="229"/>
      <c r="AY182" s="229"/>
      <c r="AZ182" s="229"/>
      <c r="BA182" s="229"/>
      <c r="BB182" s="229"/>
      <c r="BC182" s="229"/>
      <c r="BD182" s="229"/>
      <c r="BE182" s="229"/>
      <c r="BF182" s="229"/>
      <c r="BG182" s="229"/>
      <c r="BH182" s="229"/>
      <c r="BI182" s="229"/>
    </row>
    <row r="183" spans="1:61" ht="16.5" customHeight="1" outlineLevel="2">
      <c r="A183" s="207">
        <f t="shared" si="138"/>
        <v>168</v>
      </c>
      <c r="B183" s="207">
        <v>14</v>
      </c>
      <c r="C183" s="245" t="s">
        <v>1366</v>
      </c>
      <c r="D183" s="209">
        <v>86.447775373743042</v>
      </c>
      <c r="E183" s="504" t="s">
        <v>91</v>
      </c>
      <c r="F183" s="213">
        <f t="shared" si="149"/>
        <v>59</v>
      </c>
      <c r="G183" s="207" t="s">
        <v>1076</v>
      </c>
      <c r="H183" s="284">
        <f t="shared" si="140"/>
        <v>2021</v>
      </c>
      <c r="I183" s="505" t="s">
        <v>234</v>
      </c>
      <c r="J183" s="230">
        <v>59</v>
      </c>
      <c r="K183" s="230"/>
      <c r="L183" s="230"/>
      <c r="M183" s="213">
        <f t="shared" si="141"/>
        <v>59</v>
      </c>
      <c r="N183" s="207" t="s">
        <v>1076</v>
      </c>
      <c r="O183" s="253" t="s">
        <v>424</v>
      </c>
      <c r="P183" s="230">
        <v>58.63</v>
      </c>
      <c r="Q183" s="230">
        <v>0</v>
      </c>
      <c r="R183" s="230">
        <v>58.63</v>
      </c>
      <c r="S183" s="213">
        <f t="shared" si="142"/>
        <v>58.63</v>
      </c>
      <c r="T183" s="216"/>
      <c r="U183" s="287"/>
      <c r="V183" s="275"/>
      <c r="W183" s="275"/>
      <c r="X183" s="275"/>
      <c r="Y183" s="213">
        <f t="shared" si="143"/>
        <v>0</v>
      </c>
      <c r="Z183" s="222">
        <v>2020</v>
      </c>
      <c r="AA183" s="228"/>
      <c r="AB183" s="218">
        <v>183.95609020879073</v>
      </c>
      <c r="AC183" s="220"/>
      <c r="AD183" s="220"/>
      <c r="AE183" s="220" t="str">
        <f t="shared" si="144"/>
        <v>VV</v>
      </c>
      <c r="AF183" s="229"/>
      <c r="AG183" s="220" t="str">
        <f t="shared" si="145"/>
        <v>1</v>
      </c>
      <c r="AH183" s="220" t="str">
        <f t="shared" si="146"/>
        <v>1</v>
      </c>
      <c r="AI183" s="220"/>
      <c r="AJ183" s="221" t="str">
        <f t="shared" si="147"/>
        <v>1</v>
      </c>
      <c r="AK183" s="220" t="str">
        <f t="shared" si="148"/>
        <v>1.1..1</v>
      </c>
      <c r="AL183" s="229"/>
      <c r="AM183" s="229"/>
      <c r="AN183" s="229"/>
      <c r="AO183" s="229"/>
      <c r="AP183" s="229"/>
      <c r="AQ183" s="229"/>
      <c r="AR183" s="229"/>
      <c r="AS183" s="229"/>
      <c r="AT183" s="229"/>
      <c r="AU183" s="229"/>
      <c r="AV183" s="229"/>
      <c r="AW183" s="229"/>
      <c r="AX183" s="229"/>
      <c r="AY183" s="229"/>
      <c r="AZ183" s="229"/>
      <c r="BA183" s="229"/>
      <c r="BB183" s="229"/>
      <c r="BC183" s="229"/>
      <c r="BD183" s="229"/>
      <c r="BE183" s="229"/>
      <c r="BF183" s="229"/>
      <c r="BG183" s="229"/>
      <c r="BH183" s="229"/>
      <c r="BI183" s="229"/>
    </row>
    <row r="184" spans="1:61" ht="16.5" customHeight="1" outlineLevel="2">
      <c r="A184" s="207">
        <f t="shared" si="138"/>
        <v>169</v>
      </c>
      <c r="B184" s="207">
        <v>15</v>
      </c>
      <c r="C184" s="245" t="s">
        <v>1367</v>
      </c>
      <c r="D184" s="209">
        <v>177.19590084800004</v>
      </c>
      <c r="E184" s="504" t="s">
        <v>123</v>
      </c>
      <c r="F184" s="213">
        <f t="shared" si="149"/>
        <v>0</v>
      </c>
      <c r="G184" s="207"/>
      <c r="H184" s="284">
        <f t="shared" si="140"/>
        <v>2013</v>
      </c>
      <c r="I184" s="231" t="s">
        <v>1158</v>
      </c>
      <c r="J184" s="230"/>
      <c r="K184" s="230"/>
      <c r="L184" s="230"/>
      <c r="M184" s="213">
        <f t="shared" si="141"/>
        <v>0</v>
      </c>
      <c r="N184" s="207"/>
      <c r="O184" s="253" t="s">
        <v>1368</v>
      </c>
      <c r="P184" s="230"/>
      <c r="Q184" s="230"/>
      <c r="R184" s="230"/>
      <c r="S184" s="213">
        <f t="shared" si="142"/>
        <v>0</v>
      </c>
      <c r="T184" s="216"/>
      <c r="U184" s="287"/>
      <c r="V184" s="275"/>
      <c r="W184" s="275"/>
      <c r="X184" s="275"/>
      <c r="Y184" s="213">
        <f t="shared" si="143"/>
        <v>0</v>
      </c>
      <c r="Z184" s="222" t="s">
        <v>1097</v>
      </c>
      <c r="AA184" s="228"/>
      <c r="AB184" s="218">
        <v>146.91058685737784</v>
      </c>
      <c r="AC184" s="220"/>
      <c r="AD184" s="220"/>
      <c r="AE184" s="220" t="str">
        <f t="shared" si="144"/>
        <v/>
      </c>
      <c r="AF184" s="229"/>
      <c r="AG184" s="220" t="str">
        <f t="shared" si="145"/>
        <v>2</v>
      </c>
      <c r="AH184" s="220" t="str">
        <f t="shared" si="146"/>
        <v>2</v>
      </c>
      <c r="AI184" s="220"/>
      <c r="AJ184" s="221" t="str">
        <f t="shared" si="147"/>
        <v>2</v>
      </c>
      <c r="AK184" s="220" t="str">
        <f t="shared" si="148"/>
        <v>2.2..2</v>
      </c>
      <c r="AL184" s="229"/>
      <c r="AM184" s="229"/>
      <c r="AN184" s="229"/>
      <c r="AO184" s="229"/>
      <c r="AP184" s="229"/>
      <c r="AQ184" s="229"/>
      <c r="AR184" s="229"/>
      <c r="AS184" s="229"/>
      <c r="AT184" s="229"/>
      <c r="AU184" s="229"/>
      <c r="AV184" s="229"/>
      <c r="AW184" s="229"/>
      <c r="AX184" s="229"/>
      <c r="AY184" s="229"/>
      <c r="AZ184" s="229"/>
      <c r="BA184" s="229"/>
      <c r="BB184" s="229"/>
      <c r="BC184" s="229"/>
      <c r="BD184" s="229"/>
      <c r="BE184" s="229"/>
      <c r="BF184" s="229"/>
      <c r="BG184" s="229"/>
      <c r="BH184" s="229"/>
      <c r="BI184" s="229"/>
    </row>
    <row r="185" spans="1:61" ht="16.5" customHeight="1" outlineLevel="2">
      <c r="A185" s="207">
        <f t="shared" si="138"/>
        <v>170</v>
      </c>
      <c r="B185" s="207">
        <v>16</v>
      </c>
      <c r="C185" s="245" t="s">
        <v>1369</v>
      </c>
      <c r="D185" s="209">
        <v>272.69626743929405</v>
      </c>
      <c r="E185" s="504" t="s">
        <v>91</v>
      </c>
      <c r="F185" s="213">
        <f t="shared" si="149"/>
        <v>2.9899999999999998</v>
      </c>
      <c r="G185" s="207"/>
      <c r="H185" s="282">
        <f t="shared" si="140"/>
        <v>2012</v>
      </c>
      <c r="I185" s="289" t="s">
        <v>223</v>
      </c>
      <c r="J185" s="283"/>
      <c r="K185" s="283"/>
      <c r="L185" s="283"/>
      <c r="M185" s="213">
        <f t="shared" si="141"/>
        <v>0</v>
      </c>
      <c r="N185" s="207"/>
      <c r="O185" s="253"/>
      <c r="P185" s="230"/>
      <c r="Q185" s="230"/>
      <c r="R185" s="230"/>
      <c r="S185" s="213">
        <f t="shared" si="142"/>
        <v>0</v>
      </c>
      <c r="T185" s="216" t="s">
        <v>1076</v>
      </c>
      <c r="U185" s="287" t="s">
        <v>427</v>
      </c>
      <c r="V185" s="275">
        <v>2.69</v>
      </c>
      <c r="W185" s="275">
        <v>0.3</v>
      </c>
      <c r="X185" s="275">
        <v>2.9899999999999998</v>
      </c>
      <c r="Y185" s="213">
        <f t="shared" si="143"/>
        <v>2.9899999999999998</v>
      </c>
      <c r="Z185" s="222" t="s">
        <v>1097</v>
      </c>
      <c r="AA185" s="228"/>
      <c r="AB185" s="218">
        <v>229.31575326126645</v>
      </c>
      <c r="AC185" s="220"/>
      <c r="AD185" s="220"/>
      <c r="AE185" s="220" t="str">
        <f t="shared" si="144"/>
        <v>V</v>
      </c>
      <c r="AF185" s="229"/>
      <c r="AG185" s="220" t="str">
        <f t="shared" si="145"/>
        <v>2</v>
      </c>
      <c r="AH185" s="220" t="str">
        <f t="shared" si="146"/>
        <v>2</v>
      </c>
      <c r="AI185" s="220"/>
      <c r="AJ185" s="221" t="str">
        <f t="shared" si="147"/>
        <v>1</v>
      </c>
      <c r="AK185" s="220" t="str">
        <f t="shared" si="148"/>
        <v>2.2..1</v>
      </c>
      <c r="AL185" s="229"/>
      <c r="AM185" s="229"/>
      <c r="AN185" s="229"/>
      <c r="AO185" s="229"/>
      <c r="AP185" s="229"/>
      <c r="AQ185" s="229"/>
      <c r="AR185" s="229"/>
      <c r="AS185" s="229"/>
      <c r="AT185" s="229"/>
      <c r="AU185" s="229"/>
      <c r="AV185" s="229"/>
      <c r="AW185" s="229"/>
      <c r="AX185" s="229"/>
      <c r="AY185" s="229"/>
      <c r="AZ185" s="229"/>
      <c r="BA185" s="229"/>
      <c r="BB185" s="229"/>
      <c r="BC185" s="229"/>
      <c r="BD185" s="229"/>
      <c r="BE185" s="229"/>
      <c r="BF185" s="229"/>
      <c r="BG185" s="229"/>
      <c r="BH185" s="229"/>
      <c r="BI185" s="229"/>
    </row>
    <row r="186" spans="1:61" ht="16.5" customHeight="1" outlineLevel="2">
      <c r="A186" s="207">
        <f t="shared" si="138"/>
        <v>171</v>
      </c>
      <c r="B186" s="207">
        <v>17</v>
      </c>
      <c r="C186" s="245" t="s">
        <v>1370</v>
      </c>
      <c r="D186" s="209">
        <v>7.3879501038200006</v>
      </c>
      <c r="E186" s="504" t="s">
        <v>123</v>
      </c>
      <c r="F186" s="213"/>
      <c r="G186" s="207"/>
      <c r="H186" s="282">
        <f t="shared" si="140"/>
        <v>2022</v>
      </c>
      <c r="I186" s="289" t="s">
        <v>429</v>
      </c>
      <c r="J186" s="283"/>
      <c r="K186" s="283"/>
      <c r="L186" s="290">
        <v>5.84</v>
      </c>
      <c r="M186" s="213">
        <f t="shared" si="141"/>
        <v>5.84</v>
      </c>
      <c r="N186" s="207"/>
      <c r="O186" s="253"/>
      <c r="P186" s="230"/>
      <c r="Q186" s="230"/>
      <c r="R186" s="230"/>
      <c r="S186" s="213">
        <f t="shared" si="142"/>
        <v>0</v>
      </c>
      <c r="T186" s="216"/>
      <c r="U186" s="287"/>
      <c r="V186" s="275"/>
      <c r="W186" s="275"/>
      <c r="X186" s="275"/>
      <c r="Y186" s="213">
        <f t="shared" si="143"/>
        <v>0</v>
      </c>
      <c r="Z186" s="222" t="s">
        <v>1097</v>
      </c>
      <c r="AA186" s="228"/>
      <c r="AB186" s="218">
        <v>45.042914509277686</v>
      </c>
      <c r="AC186" s="220"/>
      <c r="AD186" s="220"/>
      <c r="AE186" s="220" t="str">
        <f t="shared" si="144"/>
        <v/>
      </c>
      <c r="AF186" s="229"/>
      <c r="AG186" s="220" t="str">
        <f t="shared" si="145"/>
        <v>1</v>
      </c>
      <c r="AH186" s="220" t="str">
        <f t="shared" si="146"/>
        <v>1</v>
      </c>
      <c r="AI186" s="220"/>
      <c r="AJ186" s="221" t="str">
        <f t="shared" si="147"/>
        <v>2</v>
      </c>
      <c r="AK186" s="220" t="str">
        <f t="shared" si="148"/>
        <v>1.1..2</v>
      </c>
      <c r="AL186" s="229"/>
      <c r="AM186" s="229"/>
      <c r="AN186" s="229"/>
      <c r="AO186" s="229"/>
      <c r="AP186" s="229"/>
      <c r="AQ186" s="229"/>
      <c r="AR186" s="229"/>
      <c r="AS186" s="229"/>
      <c r="AT186" s="229"/>
      <c r="AU186" s="229"/>
      <c r="AV186" s="229"/>
      <c r="AW186" s="229"/>
      <c r="AX186" s="229"/>
      <c r="AY186" s="229"/>
      <c r="AZ186" s="229"/>
      <c r="BA186" s="229"/>
      <c r="BB186" s="229"/>
      <c r="BC186" s="229"/>
      <c r="BD186" s="229"/>
      <c r="BE186" s="229"/>
      <c r="BF186" s="229"/>
      <c r="BG186" s="229"/>
      <c r="BH186" s="229"/>
      <c r="BI186" s="229"/>
    </row>
    <row r="187" spans="1:61" ht="16.5" customHeight="1" outlineLevel="2">
      <c r="A187" s="207">
        <f t="shared" si="138"/>
        <v>172</v>
      </c>
      <c r="B187" s="207">
        <v>18</v>
      </c>
      <c r="C187" s="245" t="s">
        <v>1371</v>
      </c>
      <c r="D187" s="209">
        <v>1509.8589320140009</v>
      </c>
      <c r="E187" s="504" t="s">
        <v>91</v>
      </c>
      <c r="F187" s="213">
        <f t="shared" ref="F187:F188" si="150">IF(M187&gt;0,M187,IF(S187&gt;0,S187,IF(Y187&gt;0,Y187,0)))</f>
        <v>425</v>
      </c>
      <c r="G187" s="207" t="s">
        <v>1076</v>
      </c>
      <c r="H187" s="284">
        <f t="shared" si="140"/>
        <v>2022</v>
      </c>
      <c r="I187" s="231" t="s">
        <v>159</v>
      </c>
      <c r="J187" s="230"/>
      <c r="K187" s="230"/>
      <c r="L187" s="230">
        <v>425</v>
      </c>
      <c r="M187" s="213">
        <f t="shared" si="141"/>
        <v>425</v>
      </c>
      <c r="N187" s="207"/>
      <c r="O187" s="253" t="s">
        <v>1372</v>
      </c>
      <c r="P187" s="230">
        <v>321</v>
      </c>
      <c r="Q187" s="230">
        <v>0</v>
      </c>
      <c r="R187" s="230">
        <v>321</v>
      </c>
      <c r="S187" s="213">
        <f t="shared" si="142"/>
        <v>321</v>
      </c>
      <c r="T187" s="216"/>
      <c r="U187" s="287"/>
      <c r="V187" s="275"/>
      <c r="W187" s="275"/>
      <c r="X187" s="275"/>
      <c r="Y187" s="213">
        <f t="shared" si="143"/>
        <v>0</v>
      </c>
      <c r="Z187" s="222">
        <v>2020</v>
      </c>
      <c r="AA187" s="228"/>
      <c r="AB187" s="218">
        <v>1275.5093326287281</v>
      </c>
      <c r="AC187" s="220"/>
      <c r="AD187" s="220"/>
      <c r="AE187" s="220" t="str">
        <f t="shared" si="144"/>
        <v>V</v>
      </c>
      <c r="AF187" s="229"/>
      <c r="AG187" s="220" t="str">
        <f t="shared" si="145"/>
        <v>1</v>
      </c>
      <c r="AH187" s="220" t="str">
        <f t="shared" si="146"/>
        <v>1</v>
      </c>
      <c r="AI187" s="220"/>
      <c r="AJ187" s="221" t="str">
        <f t="shared" si="147"/>
        <v>1</v>
      </c>
      <c r="AK187" s="220" t="str">
        <f t="shared" si="148"/>
        <v>1.1..1</v>
      </c>
      <c r="AL187" s="229"/>
      <c r="AM187" s="229"/>
      <c r="AN187" s="229"/>
      <c r="AO187" s="229"/>
      <c r="AP187" s="229"/>
      <c r="AQ187" s="229"/>
      <c r="AR187" s="229"/>
      <c r="AS187" s="229"/>
      <c r="AT187" s="229"/>
      <c r="AU187" s="229"/>
      <c r="AV187" s="229"/>
      <c r="AW187" s="229"/>
      <c r="AX187" s="229"/>
      <c r="AY187" s="229"/>
      <c r="AZ187" s="229"/>
      <c r="BA187" s="229"/>
      <c r="BB187" s="229"/>
      <c r="BC187" s="229"/>
      <c r="BD187" s="229"/>
      <c r="BE187" s="229"/>
      <c r="BF187" s="229"/>
      <c r="BG187" s="229"/>
      <c r="BH187" s="229"/>
      <c r="BI187" s="229"/>
    </row>
    <row r="188" spans="1:61" ht="16.5" customHeight="1" outlineLevel="2">
      <c r="A188" s="207">
        <f t="shared" si="138"/>
        <v>173</v>
      </c>
      <c r="B188" s="207">
        <v>19</v>
      </c>
      <c r="C188" s="245" t="s">
        <v>1373</v>
      </c>
      <c r="D188" s="209">
        <v>5373.1439484360899</v>
      </c>
      <c r="E188" s="504" t="s">
        <v>123</v>
      </c>
      <c r="F188" s="213">
        <f t="shared" si="150"/>
        <v>0</v>
      </c>
      <c r="G188" s="207"/>
      <c r="H188" s="284">
        <f t="shared" si="140"/>
        <v>2012</v>
      </c>
      <c r="I188" s="231" t="s">
        <v>432</v>
      </c>
      <c r="J188" s="230"/>
      <c r="K188" s="230"/>
      <c r="L188" s="230"/>
      <c r="M188" s="213">
        <f t="shared" si="141"/>
        <v>0</v>
      </c>
      <c r="N188" s="207"/>
      <c r="O188" s="253"/>
      <c r="P188" s="230"/>
      <c r="Q188" s="230"/>
      <c r="R188" s="230"/>
      <c r="S188" s="213">
        <f t="shared" si="142"/>
        <v>0</v>
      </c>
      <c r="T188" s="216"/>
      <c r="U188" s="287"/>
      <c r="V188" s="275"/>
      <c r="W188" s="275"/>
      <c r="X188" s="275"/>
      <c r="Y188" s="213">
        <f t="shared" si="143"/>
        <v>0</v>
      </c>
      <c r="Z188" s="222" t="s">
        <v>1097</v>
      </c>
      <c r="AA188" s="228"/>
      <c r="AB188" s="218">
        <v>4843.3905308137928</v>
      </c>
      <c r="AC188" s="220"/>
      <c r="AD188" s="220"/>
      <c r="AE188" s="220" t="str">
        <f t="shared" si="144"/>
        <v/>
      </c>
      <c r="AF188" s="229"/>
      <c r="AG188" s="220" t="str">
        <f t="shared" si="145"/>
        <v>2</v>
      </c>
      <c r="AH188" s="220" t="str">
        <f t="shared" si="146"/>
        <v>2</v>
      </c>
      <c r="AI188" s="220"/>
      <c r="AJ188" s="221" t="str">
        <f t="shared" si="147"/>
        <v>2</v>
      </c>
      <c r="AK188" s="220" t="str">
        <f t="shared" si="148"/>
        <v>2.2..2</v>
      </c>
      <c r="AL188" s="229"/>
      <c r="AM188" s="229"/>
      <c r="AN188" s="229"/>
      <c r="AO188" s="229"/>
      <c r="AP188" s="229"/>
      <c r="AQ188" s="229"/>
      <c r="AR188" s="229"/>
      <c r="AS188" s="229"/>
      <c r="AT188" s="229"/>
      <c r="AU188" s="229"/>
      <c r="AV188" s="229"/>
      <c r="AW188" s="229"/>
      <c r="AX188" s="229"/>
      <c r="AY188" s="229"/>
      <c r="AZ188" s="229"/>
      <c r="BA188" s="229"/>
      <c r="BB188" s="229"/>
      <c r="BC188" s="229"/>
      <c r="BD188" s="229"/>
      <c r="BE188" s="229"/>
      <c r="BF188" s="229"/>
      <c r="BG188" s="229"/>
      <c r="BH188" s="229"/>
      <c r="BI188" s="229"/>
    </row>
    <row r="189" spans="1:61" ht="16.5" customHeight="1" outlineLevel="2">
      <c r="A189" s="207">
        <f t="shared" si="138"/>
        <v>174</v>
      </c>
      <c r="B189" s="207">
        <v>20</v>
      </c>
      <c r="C189" s="245" t="s">
        <v>1374</v>
      </c>
      <c r="D189" s="209">
        <v>28016.982784532218</v>
      </c>
      <c r="E189" s="504" t="s">
        <v>91</v>
      </c>
      <c r="F189" s="213">
        <f t="shared" ref="F189:F190" si="151">Y189</f>
        <v>22997</v>
      </c>
      <c r="G189" s="207"/>
      <c r="H189" s="282">
        <f t="shared" si="140"/>
        <v>2011</v>
      </c>
      <c r="I189" s="289" t="s">
        <v>1375</v>
      </c>
      <c r="J189" s="283">
        <v>11706</v>
      </c>
      <c r="K189" s="283">
        <v>0</v>
      </c>
      <c r="L189" s="283">
        <v>11706</v>
      </c>
      <c r="M189" s="213">
        <f t="shared" si="141"/>
        <v>11706</v>
      </c>
      <c r="N189" s="207"/>
      <c r="O189" s="253" t="s">
        <v>520</v>
      </c>
      <c r="P189" s="230">
        <v>11706</v>
      </c>
      <c r="Q189" s="230">
        <v>0</v>
      </c>
      <c r="R189" s="230">
        <v>11706</v>
      </c>
      <c r="S189" s="213">
        <f t="shared" si="142"/>
        <v>11706</v>
      </c>
      <c r="T189" s="216" t="s">
        <v>1076</v>
      </c>
      <c r="U189" s="513" t="s">
        <v>434</v>
      </c>
      <c r="V189" s="276">
        <v>20968</v>
      </c>
      <c r="W189" s="277">
        <v>2029</v>
      </c>
      <c r="X189" s="276">
        <f>SUM(V189:W189)</f>
        <v>22997</v>
      </c>
      <c r="Y189" s="213">
        <f t="shared" si="143"/>
        <v>22997</v>
      </c>
      <c r="Z189" s="222">
        <v>2021</v>
      </c>
      <c r="AA189" s="228"/>
      <c r="AB189" s="218">
        <v>27388.251133504476</v>
      </c>
      <c r="AC189" s="220"/>
      <c r="AD189" s="220"/>
      <c r="AE189" s="220" t="str">
        <f t="shared" si="144"/>
        <v>V</v>
      </c>
      <c r="AF189" s="229"/>
      <c r="AG189" s="220" t="str">
        <f t="shared" si="145"/>
        <v>2</v>
      </c>
      <c r="AH189" s="220" t="str">
        <f t="shared" si="146"/>
        <v>1</v>
      </c>
      <c r="AI189" s="220"/>
      <c r="AJ189" s="221" t="str">
        <f t="shared" si="147"/>
        <v>1</v>
      </c>
      <c r="AK189" s="220" t="str">
        <f t="shared" si="148"/>
        <v>2.1..1</v>
      </c>
      <c r="AL189" s="229"/>
      <c r="AM189" s="229"/>
      <c r="AN189" s="229"/>
      <c r="AO189" s="229"/>
      <c r="AP189" s="229"/>
      <c r="AQ189" s="229"/>
      <c r="AR189" s="229"/>
      <c r="AS189" s="229"/>
      <c r="AT189" s="229"/>
      <c r="AU189" s="229"/>
      <c r="AV189" s="229"/>
      <c r="AW189" s="229"/>
      <c r="AX189" s="229"/>
      <c r="AY189" s="229"/>
      <c r="AZ189" s="229"/>
      <c r="BA189" s="229"/>
      <c r="BB189" s="229"/>
      <c r="BC189" s="229"/>
      <c r="BD189" s="229"/>
      <c r="BE189" s="229"/>
      <c r="BF189" s="229"/>
      <c r="BG189" s="229"/>
      <c r="BH189" s="229"/>
      <c r="BI189" s="229"/>
    </row>
    <row r="190" spans="1:61" ht="16.5" customHeight="1" outlineLevel="2">
      <c r="A190" s="207">
        <f t="shared" si="138"/>
        <v>175</v>
      </c>
      <c r="B190" s="207">
        <v>21</v>
      </c>
      <c r="C190" s="245" t="s">
        <v>1376</v>
      </c>
      <c r="D190" s="209">
        <v>56161.634647420331</v>
      </c>
      <c r="E190" s="504" t="s">
        <v>91</v>
      </c>
      <c r="F190" s="213">
        <f t="shared" si="151"/>
        <v>30996.42</v>
      </c>
      <c r="G190" s="207"/>
      <c r="H190" s="282">
        <f t="shared" si="140"/>
        <v>2011</v>
      </c>
      <c r="I190" s="289" t="s">
        <v>1321</v>
      </c>
      <c r="J190" s="283">
        <v>39190</v>
      </c>
      <c r="K190" s="283">
        <v>0</v>
      </c>
      <c r="L190" s="283">
        <v>39190</v>
      </c>
      <c r="M190" s="213">
        <f t="shared" si="141"/>
        <v>39190</v>
      </c>
      <c r="N190" s="207"/>
      <c r="O190" s="253"/>
      <c r="P190" s="230"/>
      <c r="Q190" s="230"/>
      <c r="R190" s="230"/>
      <c r="S190" s="213">
        <f t="shared" si="142"/>
        <v>0</v>
      </c>
      <c r="T190" s="216" t="s">
        <v>1076</v>
      </c>
      <c r="U190" s="287" t="s">
        <v>436</v>
      </c>
      <c r="V190" s="275">
        <v>30996.42</v>
      </c>
      <c r="W190" s="275"/>
      <c r="X190" s="275"/>
      <c r="Y190" s="213">
        <f t="shared" si="143"/>
        <v>30996.42</v>
      </c>
      <c r="Z190" s="222">
        <v>2021</v>
      </c>
      <c r="AA190" s="228"/>
      <c r="AB190" s="218">
        <v>52345.074338736798</v>
      </c>
      <c r="AC190" s="220"/>
      <c r="AD190" s="220"/>
      <c r="AE190" s="220" t="str">
        <f t="shared" si="144"/>
        <v>V</v>
      </c>
      <c r="AF190" s="229"/>
      <c r="AG190" s="220" t="str">
        <f t="shared" si="145"/>
        <v>2</v>
      </c>
      <c r="AH190" s="220" t="str">
        <f t="shared" si="146"/>
        <v>1</v>
      </c>
      <c r="AI190" s="220"/>
      <c r="AJ190" s="221" t="str">
        <f t="shared" si="147"/>
        <v>1</v>
      </c>
      <c r="AK190" s="220" t="str">
        <f t="shared" si="148"/>
        <v>2.1..1</v>
      </c>
      <c r="AL190" s="229"/>
      <c r="AM190" s="229"/>
      <c r="AN190" s="229"/>
      <c r="AO190" s="229"/>
      <c r="AP190" s="229"/>
      <c r="AQ190" s="229"/>
      <c r="AR190" s="229"/>
      <c r="AS190" s="229"/>
      <c r="AT190" s="229"/>
      <c r="AU190" s="229"/>
      <c r="AV190" s="229"/>
      <c r="AW190" s="229"/>
      <c r="AX190" s="229"/>
      <c r="AY190" s="229"/>
      <c r="AZ190" s="229"/>
      <c r="BA190" s="229"/>
      <c r="BB190" s="229"/>
      <c r="BC190" s="229"/>
      <c r="BD190" s="229"/>
      <c r="BE190" s="229"/>
      <c r="BF190" s="229"/>
      <c r="BG190" s="229"/>
      <c r="BH190" s="229"/>
      <c r="BI190" s="229"/>
    </row>
    <row r="191" spans="1:61" ht="16.5" customHeight="1" outlineLevel="2">
      <c r="A191" s="207">
        <f t="shared" si="138"/>
        <v>176</v>
      </c>
      <c r="B191" s="207">
        <v>22</v>
      </c>
      <c r="C191" s="245" t="s">
        <v>1377</v>
      </c>
      <c r="D191" s="209">
        <v>17674.683865806546</v>
      </c>
      <c r="E191" s="504" t="s">
        <v>104</v>
      </c>
      <c r="F191" s="213">
        <f>IF(M191&gt;0,M191,IF(S191&gt;0,S191,IF(Y191&gt;0,Y191,0)))</f>
        <v>20122</v>
      </c>
      <c r="G191" s="207"/>
      <c r="H191" s="282">
        <f t="shared" si="140"/>
        <v>2018</v>
      </c>
      <c r="I191" s="289" t="s">
        <v>438</v>
      </c>
      <c r="J191" s="283">
        <v>20122</v>
      </c>
      <c r="K191" s="283">
        <v>0</v>
      </c>
      <c r="L191" s="283">
        <v>20122</v>
      </c>
      <c r="M191" s="213">
        <f t="shared" si="141"/>
        <v>20122</v>
      </c>
      <c r="N191" s="207"/>
      <c r="O191" s="253" t="s">
        <v>868</v>
      </c>
      <c r="P191" s="230">
        <v>12785</v>
      </c>
      <c r="Q191" s="230">
        <v>0</v>
      </c>
      <c r="R191" s="230">
        <v>0</v>
      </c>
      <c r="S191" s="213">
        <f t="shared" si="142"/>
        <v>12785</v>
      </c>
      <c r="T191" s="216"/>
      <c r="U191" s="287"/>
      <c r="V191" s="275"/>
      <c r="W191" s="275"/>
      <c r="X191" s="275"/>
      <c r="Y191" s="213">
        <f t="shared" si="143"/>
        <v>0</v>
      </c>
      <c r="Z191" s="222">
        <v>2023</v>
      </c>
      <c r="AA191" s="228" t="s">
        <v>1160</v>
      </c>
      <c r="AB191" s="218">
        <v>18536.753368356978</v>
      </c>
      <c r="AC191" s="220"/>
      <c r="AD191" s="220"/>
      <c r="AE191" s="220" t="str">
        <f t="shared" si="144"/>
        <v/>
      </c>
      <c r="AF191" s="229"/>
      <c r="AG191" s="220" t="str">
        <f t="shared" si="145"/>
        <v>2</v>
      </c>
      <c r="AH191" s="220" t="str">
        <f t="shared" si="146"/>
        <v>1</v>
      </c>
      <c r="AI191" s="220"/>
      <c r="AJ191" s="221" t="str">
        <f t="shared" si="147"/>
        <v>1</v>
      </c>
      <c r="AK191" s="220" t="str">
        <f t="shared" si="148"/>
        <v>2.1..1</v>
      </c>
      <c r="AL191" s="229"/>
      <c r="AM191" s="229"/>
      <c r="AN191" s="229"/>
      <c r="AO191" s="229"/>
      <c r="AP191" s="229"/>
      <c r="AQ191" s="229"/>
      <c r="AR191" s="229"/>
      <c r="AS191" s="229"/>
      <c r="AT191" s="229"/>
      <c r="AU191" s="229"/>
      <c r="AV191" s="229"/>
      <c r="AW191" s="229"/>
      <c r="AX191" s="229"/>
      <c r="AY191" s="229"/>
      <c r="AZ191" s="229"/>
      <c r="BA191" s="229"/>
      <c r="BB191" s="229"/>
      <c r="BC191" s="229"/>
      <c r="BD191" s="229"/>
      <c r="BE191" s="229"/>
      <c r="BF191" s="229"/>
      <c r="BG191" s="229"/>
      <c r="BH191" s="229"/>
      <c r="BI191" s="229"/>
    </row>
    <row r="192" spans="1:61" ht="16.5" customHeight="1" outlineLevel="2">
      <c r="A192" s="207">
        <f t="shared" si="138"/>
        <v>177</v>
      </c>
      <c r="B192" s="207">
        <v>23</v>
      </c>
      <c r="C192" s="245" t="s">
        <v>1378</v>
      </c>
      <c r="D192" s="209">
        <v>19245.060403105945</v>
      </c>
      <c r="E192" s="504" t="s">
        <v>91</v>
      </c>
      <c r="F192" s="213">
        <f t="shared" ref="F192:F193" si="152">Y192</f>
        <v>16240</v>
      </c>
      <c r="G192" s="207"/>
      <c r="H192" s="282">
        <f t="shared" si="140"/>
        <v>2012</v>
      </c>
      <c r="I192" s="289" t="s">
        <v>323</v>
      </c>
      <c r="J192" s="283">
        <v>4972</v>
      </c>
      <c r="K192" s="283">
        <v>0</v>
      </c>
      <c r="L192" s="283">
        <v>4972</v>
      </c>
      <c r="M192" s="213">
        <f t="shared" si="141"/>
        <v>4972</v>
      </c>
      <c r="N192" s="207"/>
      <c r="O192" s="253"/>
      <c r="P192" s="230"/>
      <c r="Q192" s="230"/>
      <c r="R192" s="230"/>
      <c r="S192" s="213">
        <f t="shared" si="142"/>
        <v>0</v>
      </c>
      <c r="T192" s="216" t="s">
        <v>1076</v>
      </c>
      <c r="U192" s="287" t="s">
        <v>440</v>
      </c>
      <c r="V192" s="275">
        <v>16240</v>
      </c>
      <c r="W192" s="275"/>
      <c r="X192" s="275"/>
      <c r="Y192" s="213">
        <f t="shared" si="143"/>
        <v>16240</v>
      </c>
      <c r="Z192" s="222">
        <v>2021</v>
      </c>
      <c r="AA192" s="228"/>
      <c r="AB192" s="218">
        <v>17590.070844536618</v>
      </c>
      <c r="AC192" s="220"/>
      <c r="AD192" s="220"/>
      <c r="AE192" s="220" t="str">
        <f t="shared" si="144"/>
        <v>V</v>
      </c>
      <c r="AF192" s="229"/>
      <c r="AG192" s="220" t="str">
        <f t="shared" si="145"/>
        <v>2</v>
      </c>
      <c r="AH192" s="220" t="str">
        <f t="shared" si="146"/>
        <v>1</v>
      </c>
      <c r="AI192" s="220"/>
      <c r="AJ192" s="221" t="str">
        <f t="shared" si="147"/>
        <v>1</v>
      </c>
      <c r="AK192" s="220" t="str">
        <f t="shared" si="148"/>
        <v>2.1..1</v>
      </c>
      <c r="AL192" s="229"/>
      <c r="AM192" s="229"/>
      <c r="AN192" s="229"/>
      <c r="AO192" s="229"/>
      <c r="AP192" s="229"/>
      <c r="AQ192" s="229"/>
      <c r="AR192" s="229"/>
      <c r="AS192" s="229"/>
      <c r="AT192" s="229"/>
      <c r="AU192" s="229"/>
      <c r="AV192" s="229"/>
      <c r="AW192" s="229"/>
      <c r="AX192" s="229"/>
      <c r="AY192" s="229"/>
      <c r="AZ192" s="229"/>
      <c r="BA192" s="229"/>
      <c r="BB192" s="229"/>
      <c r="BC192" s="229"/>
      <c r="BD192" s="229"/>
      <c r="BE192" s="229"/>
      <c r="BF192" s="229"/>
      <c r="BG192" s="229"/>
      <c r="BH192" s="229"/>
      <c r="BI192" s="229"/>
    </row>
    <row r="193" spans="1:61" ht="16.5" customHeight="1" outlineLevel="2">
      <c r="A193" s="207">
        <f t="shared" si="138"/>
        <v>178</v>
      </c>
      <c r="B193" s="207">
        <v>24</v>
      </c>
      <c r="C193" s="245" t="s">
        <v>1379</v>
      </c>
      <c r="D193" s="209">
        <v>90531.767625159118</v>
      </c>
      <c r="E193" s="504" t="s">
        <v>91</v>
      </c>
      <c r="F193" s="213">
        <f t="shared" si="152"/>
        <v>64245.51</v>
      </c>
      <c r="G193" s="207"/>
      <c r="H193" s="282">
        <f t="shared" si="140"/>
        <v>2014</v>
      </c>
      <c r="I193" s="289" t="s">
        <v>729</v>
      </c>
      <c r="J193" s="283">
        <v>77638</v>
      </c>
      <c r="K193" s="283">
        <v>0</v>
      </c>
      <c r="L193" s="283">
        <v>77638</v>
      </c>
      <c r="M193" s="213">
        <f t="shared" si="141"/>
        <v>77638</v>
      </c>
      <c r="N193" s="207"/>
      <c r="O193" s="253"/>
      <c r="P193" s="230"/>
      <c r="Q193" s="230"/>
      <c r="R193" s="230"/>
      <c r="S193" s="213">
        <f t="shared" si="142"/>
        <v>0</v>
      </c>
      <c r="T193" s="216" t="s">
        <v>1076</v>
      </c>
      <c r="U193" s="287" t="s">
        <v>442</v>
      </c>
      <c r="V193" s="275">
        <v>64245.51</v>
      </c>
      <c r="W193" s="275">
        <v>6736.11</v>
      </c>
      <c r="X193" s="275"/>
      <c r="Y193" s="213">
        <f t="shared" si="143"/>
        <v>64245.51</v>
      </c>
      <c r="Z193" s="222">
        <v>2021</v>
      </c>
      <c r="AA193" s="228"/>
      <c r="AB193" s="218">
        <v>88423.082469194094</v>
      </c>
      <c r="AC193" s="220"/>
      <c r="AD193" s="220"/>
      <c r="AE193" s="220" t="str">
        <f t="shared" si="144"/>
        <v>V</v>
      </c>
      <c r="AF193" s="229"/>
      <c r="AG193" s="220" t="str">
        <f t="shared" si="145"/>
        <v>2</v>
      </c>
      <c r="AH193" s="220" t="str">
        <f t="shared" si="146"/>
        <v>1</v>
      </c>
      <c r="AI193" s="220"/>
      <c r="AJ193" s="221" t="str">
        <f t="shared" si="147"/>
        <v>1</v>
      </c>
      <c r="AK193" s="220" t="str">
        <f t="shared" si="148"/>
        <v>2.1..1</v>
      </c>
      <c r="AL193" s="229"/>
      <c r="AM193" s="229"/>
      <c r="AN193" s="229"/>
      <c r="AO193" s="229"/>
      <c r="AP193" s="229"/>
      <c r="AQ193" s="229"/>
      <c r="AR193" s="229"/>
      <c r="AS193" s="229"/>
      <c r="AT193" s="229"/>
      <c r="AU193" s="229"/>
      <c r="AV193" s="229"/>
      <c r="AW193" s="229"/>
      <c r="AX193" s="229"/>
      <c r="AY193" s="229"/>
      <c r="AZ193" s="229"/>
      <c r="BA193" s="229"/>
      <c r="BB193" s="229"/>
      <c r="BC193" s="229"/>
      <c r="BD193" s="229"/>
      <c r="BE193" s="229"/>
      <c r="BF193" s="229"/>
      <c r="BG193" s="229"/>
      <c r="BH193" s="229"/>
      <c r="BI193" s="229"/>
    </row>
    <row r="194" spans="1:61" ht="16.5" customHeight="1" outlineLevel="2">
      <c r="A194" s="207">
        <f t="shared" si="138"/>
        <v>179</v>
      </c>
      <c r="B194" s="207">
        <v>25</v>
      </c>
      <c r="C194" s="245" t="s">
        <v>1380</v>
      </c>
      <c r="D194" s="209">
        <v>56782.666303111815</v>
      </c>
      <c r="E194" s="504" t="s">
        <v>104</v>
      </c>
      <c r="F194" s="213">
        <f t="shared" ref="F194:F195" si="153">IF(M194&gt;0,M194,IF(S194&gt;0,S194,IF(Y194&gt;0,Y194,0)))</f>
        <v>64077</v>
      </c>
      <c r="G194" s="207"/>
      <c r="H194" s="282">
        <f t="shared" si="140"/>
        <v>2012</v>
      </c>
      <c r="I194" s="289" t="s">
        <v>338</v>
      </c>
      <c r="J194" s="283">
        <v>64077</v>
      </c>
      <c r="K194" s="283">
        <v>0</v>
      </c>
      <c r="L194" s="283">
        <v>64077</v>
      </c>
      <c r="M194" s="213">
        <f t="shared" si="141"/>
        <v>64077</v>
      </c>
      <c r="N194" s="207"/>
      <c r="O194" s="253" t="s">
        <v>444</v>
      </c>
      <c r="P194" s="230">
        <v>64077</v>
      </c>
      <c r="Q194" s="230">
        <v>0</v>
      </c>
      <c r="R194" s="230">
        <v>64077</v>
      </c>
      <c r="S194" s="213">
        <f t="shared" si="142"/>
        <v>64077</v>
      </c>
      <c r="T194" s="216"/>
      <c r="U194" s="287"/>
      <c r="V194" s="275"/>
      <c r="W194" s="275"/>
      <c r="X194" s="275"/>
      <c r="Y194" s="213">
        <f t="shared" si="143"/>
        <v>0</v>
      </c>
      <c r="Z194" s="222">
        <v>2021</v>
      </c>
      <c r="AA194" s="228"/>
      <c r="AB194" s="218">
        <v>55327.835169706923</v>
      </c>
      <c r="AC194" s="220"/>
      <c r="AD194" s="220"/>
      <c r="AE194" s="220" t="str">
        <f t="shared" si="144"/>
        <v/>
      </c>
      <c r="AF194" s="229"/>
      <c r="AG194" s="220" t="str">
        <f t="shared" si="145"/>
        <v>2</v>
      </c>
      <c r="AH194" s="220" t="str">
        <f t="shared" si="146"/>
        <v>1</v>
      </c>
      <c r="AI194" s="220"/>
      <c r="AJ194" s="221" t="str">
        <f t="shared" si="147"/>
        <v>1</v>
      </c>
      <c r="AK194" s="220" t="str">
        <f t="shared" si="148"/>
        <v>2.1..1</v>
      </c>
      <c r="AL194" s="229"/>
      <c r="AM194" s="229"/>
      <c r="AN194" s="229"/>
      <c r="AO194" s="229"/>
      <c r="AP194" s="229"/>
      <c r="AQ194" s="229"/>
      <c r="AR194" s="229"/>
      <c r="AS194" s="229"/>
      <c r="AT194" s="229"/>
      <c r="AU194" s="229"/>
      <c r="AV194" s="229"/>
      <c r="AW194" s="229"/>
      <c r="AX194" s="229"/>
      <c r="AY194" s="229"/>
      <c r="AZ194" s="229"/>
      <c r="BA194" s="229"/>
      <c r="BB194" s="229"/>
      <c r="BC194" s="229"/>
      <c r="BD194" s="229"/>
      <c r="BE194" s="229"/>
      <c r="BF194" s="229"/>
      <c r="BG194" s="229"/>
      <c r="BH194" s="229"/>
      <c r="BI194" s="229"/>
    </row>
    <row r="195" spans="1:61" ht="16.5" customHeight="1" outlineLevel="2">
      <c r="A195" s="207">
        <f t="shared" si="138"/>
        <v>180</v>
      </c>
      <c r="B195" s="207">
        <v>26</v>
      </c>
      <c r="C195" s="245" t="s">
        <v>1381</v>
      </c>
      <c r="D195" s="209">
        <v>31166.802586330381</v>
      </c>
      <c r="E195" s="504" t="s">
        <v>104</v>
      </c>
      <c r="F195" s="213">
        <f t="shared" si="153"/>
        <v>30069</v>
      </c>
      <c r="G195" s="207"/>
      <c r="H195" s="282">
        <f t="shared" si="140"/>
        <v>2018</v>
      </c>
      <c r="I195" s="289" t="s">
        <v>1382</v>
      </c>
      <c r="J195" s="283">
        <v>30069</v>
      </c>
      <c r="K195" s="283">
        <v>0</v>
      </c>
      <c r="L195" s="283">
        <v>30069</v>
      </c>
      <c r="M195" s="213">
        <f t="shared" si="141"/>
        <v>30069</v>
      </c>
      <c r="N195" s="207"/>
      <c r="O195" s="231" t="s">
        <v>161</v>
      </c>
      <c r="P195" s="230"/>
      <c r="Q195" s="230"/>
      <c r="R195" s="230"/>
      <c r="S195" s="213">
        <f t="shared" si="142"/>
        <v>0</v>
      </c>
      <c r="T195" s="216"/>
      <c r="U195" s="275"/>
      <c r="V195" s="275"/>
      <c r="W195" s="275"/>
      <c r="X195" s="275"/>
      <c r="Y195" s="213">
        <f t="shared" si="143"/>
        <v>0</v>
      </c>
      <c r="Z195" s="222">
        <v>2023</v>
      </c>
      <c r="AA195" s="228" t="s">
        <v>1160</v>
      </c>
      <c r="AB195" s="218">
        <v>28858.062464596067</v>
      </c>
      <c r="AC195" s="220"/>
      <c r="AD195" s="220"/>
      <c r="AE195" s="220" t="str">
        <f t="shared" si="144"/>
        <v/>
      </c>
      <c r="AF195" s="229"/>
      <c r="AG195" s="220" t="str">
        <f t="shared" si="145"/>
        <v>2</v>
      </c>
      <c r="AH195" s="220" t="str">
        <f t="shared" si="146"/>
        <v>1</v>
      </c>
      <c r="AI195" s="220"/>
      <c r="AJ195" s="221" t="str">
        <f t="shared" si="147"/>
        <v>2</v>
      </c>
      <c r="AK195" s="220" t="str">
        <f t="shared" si="148"/>
        <v>2.1..2</v>
      </c>
      <c r="AL195" s="229"/>
      <c r="AM195" s="229"/>
      <c r="AN195" s="229"/>
      <c r="AO195" s="229"/>
      <c r="AP195" s="229"/>
      <c r="AQ195" s="229"/>
      <c r="AR195" s="229"/>
      <c r="AS195" s="229"/>
      <c r="AT195" s="229"/>
      <c r="AU195" s="229"/>
      <c r="AV195" s="229"/>
      <c r="AW195" s="229"/>
      <c r="AX195" s="229"/>
      <c r="AY195" s="229"/>
      <c r="AZ195" s="229"/>
      <c r="BA195" s="229"/>
      <c r="BB195" s="229"/>
      <c r="BC195" s="229"/>
      <c r="BD195" s="229"/>
      <c r="BE195" s="229"/>
      <c r="BF195" s="229"/>
      <c r="BG195" s="229"/>
      <c r="BH195" s="229"/>
      <c r="BI195" s="229"/>
    </row>
    <row r="196" spans="1:61" ht="16.5" customHeight="1" outlineLevel="2">
      <c r="A196" s="207">
        <f t="shared" si="138"/>
        <v>181</v>
      </c>
      <c r="B196" s="207">
        <v>27</v>
      </c>
      <c r="C196" s="245" t="s">
        <v>1383</v>
      </c>
      <c r="D196" s="209">
        <v>45178.452436232699</v>
      </c>
      <c r="E196" s="504" t="s">
        <v>91</v>
      </c>
      <c r="F196" s="213">
        <f>Y196</f>
        <v>40346</v>
      </c>
      <c r="G196" s="207"/>
      <c r="H196" s="282">
        <f t="shared" si="140"/>
        <v>2012</v>
      </c>
      <c r="I196" s="289" t="s">
        <v>588</v>
      </c>
      <c r="J196" s="283">
        <v>49556</v>
      </c>
      <c r="K196" s="283">
        <v>0</v>
      </c>
      <c r="L196" s="283">
        <v>49556</v>
      </c>
      <c r="M196" s="213">
        <f t="shared" si="141"/>
        <v>49556</v>
      </c>
      <c r="N196" s="207"/>
      <c r="O196" s="253" t="s">
        <v>1384</v>
      </c>
      <c r="P196" s="230">
        <v>0</v>
      </c>
      <c r="Q196" s="230">
        <v>0</v>
      </c>
      <c r="R196" s="230">
        <v>0</v>
      </c>
      <c r="S196" s="213">
        <f t="shared" si="142"/>
        <v>0</v>
      </c>
      <c r="T196" s="216" t="s">
        <v>1076</v>
      </c>
      <c r="U196" s="516" t="s">
        <v>448</v>
      </c>
      <c r="V196" s="276">
        <v>38808</v>
      </c>
      <c r="W196" s="277">
        <v>1538</v>
      </c>
      <c r="X196" s="276">
        <f>SUM(V196:W196)</f>
        <v>40346</v>
      </c>
      <c r="Y196" s="213">
        <f t="shared" si="143"/>
        <v>40346</v>
      </c>
      <c r="Z196" s="222">
        <v>2021</v>
      </c>
      <c r="AA196" s="228"/>
      <c r="AB196" s="218">
        <v>46026.662189673101</v>
      </c>
      <c r="AC196" s="220"/>
      <c r="AD196" s="220"/>
      <c r="AE196" s="220" t="str">
        <f t="shared" si="144"/>
        <v>V</v>
      </c>
      <c r="AF196" s="229"/>
      <c r="AG196" s="220" t="str">
        <f t="shared" si="145"/>
        <v>2</v>
      </c>
      <c r="AH196" s="220" t="str">
        <f t="shared" si="146"/>
        <v>1</v>
      </c>
      <c r="AI196" s="220"/>
      <c r="AJ196" s="221" t="str">
        <f t="shared" si="147"/>
        <v>1</v>
      </c>
      <c r="AK196" s="220" t="str">
        <f t="shared" si="148"/>
        <v>2.1..1</v>
      </c>
      <c r="AL196" s="229"/>
      <c r="AM196" s="229"/>
      <c r="AN196" s="229"/>
      <c r="AO196" s="229"/>
      <c r="AP196" s="229"/>
      <c r="AQ196" s="229"/>
      <c r="AR196" s="229"/>
      <c r="AS196" s="229"/>
      <c r="AT196" s="229"/>
      <c r="AU196" s="229"/>
      <c r="AV196" s="229"/>
      <c r="AW196" s="229"/>
      <c r="AX196" s="229"/>
      <c r="AY196" s="229"/>
      <c r="AZ196" s="229"/>
      <c r="BA196" s="229"/>
      <c r="BB196" s="229"/>
      <c r="BC196" s="229"/>
      <c r="BD196" s="229"/>
      <c r="BE196" s="229"/>
      <c r="BF196" s="229"/>
      <c r="BG196" s="229"/>
      <c r="BH196" s="229"/>
      <c r="BI196" s="229"/>
    </row>
    <row r="197" spans="1:61" ht="16.5" customHeight="1" outlineLevel="1">
      <c r="A197" s="207"/>
      <c r="B197" s="201"/>
      <c r="C197" s="249" t="s">
        <v>1385</v>
      </c>
      <c r="D197" s="250"/>
      <c r="E197" s="238">
        <f>COUNTIF(E170:E196,"D") + COUNTIF(E170:E196,"DS")</f>
        <v>22</v>
      </c>
      <c r="F197" s="254">
        <f>SUBTOTAL(9,F170:F196)</f>
        <v>745579.14999999991</v>
      </c>
      <c r="G197" s="201"/>
      <c r="H197" s="240"/>
      <c r="I197" s="264"/>
      <c r="J197" s="254">
        <f t="shared" ref="J197:S197" si="154">SUBTOTAL(9,J170:J196)</f>
        <v>529316.35</v>
      </c>
      <c r="K197" s="254">
        <f t="shared" si="154"/>
        <v>3000</v>
      </c>
      <c r="L197" s="254">
        <f t="shared" si="154"/>
        <v>532688.18999999994</v>
      </c>
      <c r="M197" s="254">
        <f t="shared" si="154"/>
        <v>532747.18999999994</v>
      </c>
      <c r="N197" s="254">
        <f t="shared" si="154"/>
        <v>0</v>
      </c>
      <c r="O197" s="254">
        <f t="shared" si="154"/>
        <v>0</v>
      </c>
      <c r="P197" s="254">
        <f t="shared" si="154"/>
        <v>271085.08999999997</v>
      </c>
      <c r="Q197" s="254">
        <f t="shared" si="154"/>
        <v>1914</v>
      </c>
      <c r="R197" s="254">
        <f t="shared" si="154"/>
        <v>258300.09</v>
      </c>
      <c r="S197" s="254">
        <f t="shared" si="154"/>
        <v>271085.08999999997</v>
      </c>
      <c r="T197" s="242">
        <v>8</v>
      </c>
      <c r="U197" s="201">
        <v>10</v>
      </c>
      <c r="V197" s="203">
        <f t="shared" ref="V197:X197" si="155">SUM(V170:V196)</f>
        <v>462861.28</v>
      </c>
      <c r="W197" s="203">
        <f t="shared" si="155"/>
        <v>17327.27</v>
      </c>
      <c r="X197" s="203">
        <f t="shared" si="155"/>
        <v>190033.41</v>
      </c>
      <c r="Y197" s="254">
        <f>SUBTOTAL(9,Y170:Y196)</f>
        <v>471538.33999999997</v>
      </c>
      <c r="Z197" s="243" t="s">
        <v>1138</v>
      </c>
      <c r="AA197" s="228"/>
      <c r="AB197" s="218">
        <f>SUM(AB170:AB196)</f>
        <v>878632.76827922009</v>
      </c>
      <c r="AC197" s="220"/>
      <c r="AD197" s="220"/>
      <c r="AE197" s="244">
        <f>COUNTIF(AE170:AE196,"V") + COUNTIF(AE170:AE196,"VV") + COUNTIF(AE170:AE196,"VVV")</f>
        <v>14</v>
      </c>
      <c r="AF197" s="229"/>
      <c r="AG197" s="220"/>
      <c r="AH197" s="220"/>
      <c r="AI197" s="220"/>
      <c r="AJ197" s="221"/>
      <c r="AK197" s="220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</row>
    <row r="198" spans="1:61" ht="16.5" customHeight="1" outlineLevel="2">
      <c r="A198" s="207">
        <f t="shared" ref="A198:A232" si="156">SUBTOTAL(3,$B$6:B198)</f>
        <v>182</v>
      </c>
      <c r="B198" s="207">
        <v>1</v>
      </c>
      <c r="C198" s="245" t="s">
        <v>1386</v>
      </c>
      <c r="D198" s="209">
        <v>12101.499887402359</v>
      </c>
      <c r="E198" s="504" t="s">
        <v>91</v>
      </c>
      <c r="F198" s="213">
        <f t="shared" ref="F198:F199" si="157">Y198</f>
        <v>13672</v>
      </c>
      <c r="G198" s="207"/>
      <c r="H198" s="281">
        <f t="shared" ref="H198:H232" si="158">VALUE(RIGHT(I198,4))</f>
        <v>2011</v>
      </c>
      <c r="I198" s="212" t="s">
        <v>1321</v>
      </c>
      <c r="J198" s="213">
        <v>12147</v>
      </c>
      <c r="K198" s="213">
        <v>0</v>
      </c>
      <c r="L198" s="213">
        <v>12147</v>
      </c>
      <c r="M198" s="213">
        <f t="shared" ref="M198:M232" si="159">IF(L198&gt;0,L198,IF(J198&gt;0,J198,0))</f>
        <v>12147</v>
      </c>
      <c r="N198" s="207"/>
      <c r="O198" s="253" t="s">
        <v>1387</v>
      </c>
      <c r="P198" s="230">
        <v>0</v>
      </c>
      <c r="Q198" s="230">
        <v>0</v>
      </c>
      <c r="R198" s="230">
        <v>0</v>
      </c>
      <c r="S198" s="213">
        <f t="shared" ref="S198:S232" si="160">IF(R198&gt;0,R198,IF(P198&gt;0,P198,0))</f>
        <v>0</v>
      </c>
      <c r="T198" s="216" t="s">
        <v>1076</v>
      </c>
      <c r="U198" s="517" t="s">
        <v>450</v>
      </c>
      <c r="V198" s="216">
        <v>9827.4699999999993</v>
      </c>
      <c r="W198" s="216">
        <v>3844.53</v>
      </c>
      <c r="X198" s="216">
        <v>13672</v>
      </c>
      <c r="Y198" s="213">
        <f t="shared" ref="Y198:Y228" si="161">IF(X198&gt;0,X198,IF(V198&gt;0,V198,0))</f>
        <v>13672</v>
      </c>
      <c r="Z198" s="222">
        <v>2021</v>
      </c>
      <c r="AA198" s="228"/>
      <c r="AB198" s="218">
        <v>11696.841646720281</v>
      </c>
      <c r="AC198" s="220"/>
      <c r="AD198" s="220"/>
      <c r="AE198" s="220" t="str">
        <f t="shared" ref="AE198:AE232" si="162">CONCATENATE(G198,N198,T198)</f>
        <v>V</v>
      </c>
      <c r="AF198" s="229"/>
      <c r="AG198" s="220" t="str">
        <f t="shared" ref="AG198:AG232" si="163">IF(H198=0,"3",IF(H198&lt;=2018,"2","1"))</f>
        <v>2</v>
      </c>
      <c r="AH198" s="220" t="str">
        <f t="shared" ref="AH198:AH232" si="164">IF(M198&gt;0,"1","2")</f>
        <v>1</v>
      </c>
      <c r="AI198" s="220"/>
      <c r="AJ198" s="221" t="str">
        <f t="shared" ref="AJ198:AJ232" si="165">IF(S198&gt;0,"1",IF(Y198&gt;0,"1","2"))</f>
        <v>1</v>
      </c>
      <c r="AK198" s="220" t="str">
        <f t="shared" ref="AK198:AK232" si="166">CONCATENATE(AG198,".",AH198,".",AI198,".",AJ198)</f>
        <v>2.1..1</v>
      </c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</row>
    <row r="199" spans="1:61" ht="16.5" customHeight="1" outlineLevel="2">
      <c r="A199" s="207">
        <f t="shared" si="156"/>
        <v>183</v>
      </c>
      <c r="B199" s="207">
        <v>2</v>
      </c>
      <c r="C199" s="245" t="s">
        <v>1388</v>
      </c>
      <c r="D199" s="209">
        <v>30896.313923130165</v>
      </c>
      <c r="E199" s="504" t="s">
        <v>91</v>
      </c>
      <c r="F199" s="213">
        <f t="shared" si="157"/>
        <v>25472.240000000002</v>
      </c>
      <c r="G199" s="207"/>
      <c r="H199" s="281">
        <f t="shared" si="158"/>
        <v>2011</v>
      </c>
      <c r="I199" s="212" t="s">
        <v>1389</v>
      </c>
      <c r="J199" s="213">
        <v>36616</v>
      </c>
      <c r="K199" s="213">
        <v>0</v>
      </c>
      <c r="L199" s="213">
        <v>36616</v>
      </c>
      <c r="M199" s="213">
        <f t="shared" si="159"/>
        <v>36616</v>
      </c>
      <c r="N199" s="207"/>
      <c r="O199" s="231"/>
      <c r="P199" s="230"/>
      <c r="Q199" s="230"/>
      <c r="R199" s="230"/>
      <c r="S199" s="213">
        <f t="shared" si="160"/>
        <v>0</v>
      </c>
      <c r="T199" s="216" t="s">
        <v>1076</v>
      </c>
      <c r="U199" s="234" t="s">
        <v>452</v>
      </c>
      <c r="V199" s="217">
        <v>20840.509999999998</v>
      </c>
      <c r="W199" s="291">
        <v>4631.7299999999996</v>
      </c>
      <c r="X199" s="216">
        <v>25472.240000000002</v>
      </c>
      <c r="Y199" s="213">
        <f t="shared" si="161"/>
        <v>25472.240000000002</v>
      </c>
      <c r="Z199" s="222">
        <v>2022</v>
      </c>
      <c r="AA199" s="228"/>
      <c r="AB199" s="218">
        <v>30316.843332592845</v>
      </c>
      <c r="AC199" s="220"/>
      <c r="AD199" s="220"/>
      <c r="AE199" s="220" t="str">
        <f t="shared" si="162"/>
        <v>V</v>
      </c>
      <c r="AF199" s="229"/>
      <c r="AG199" s="220" t="str">
        <f t="shared" si="163"/>
        <v>2</v>
      </c>
      <c r="AH199" s="220" t="str">
        <f t="shared" si="164"/>
        <v>1</v>
      </c>
      <c r="AI199" s="220"/>
      <c r="AJ199" s="221" t="str">
        <f t="shared" si="165"/>
        <v>1</v>
      </c>
      <c r="AK199" s="220" t="str">
        <f t="shared" si="166"/>
        <v>2.1..1</v>
      </c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</row>
    <row r="200" spans="1:61" ht="16.5" customHeight="1" outlineLevel="2">
      <c r="A200" s="207">
        <f t="shared" si="156"/>
        <v>184</v>
      </c>
      <c r="B200" s="207">
        <v>3</v>
      </c>
      <c r="C200" s="245" t="s">
        <v>1390</v>
      </c>
      <c r="D200" s="209">
        <v>18304.490890100722</v>
      </c>
      <c r="E200" s="504" t="s">
        <v>91</v>
      </c>
      <c r="F200" s="213">
        <f t="shared" ref="F200:F208" si="167">IF(M200&gt;0,M200,IF(S200&gt;0,S200,IF(Y200&gt;0,Y200,0)))</f>
        <v>26394</v>
      </c>
      <c r="G200" s="207" t="s">
        <v>1076</v>
      </c>
      <c r="H200" s="223">
        <f t="shared" si="158"/>
        <v>2019</v>
      </c>
      <c r="I200" s="248" t="s">
        <v>454</v>
      </c>
      <c r="J200" s="246">
        <v>16675</v>
      </c>
      <c r="K200" s="246">
        <v>0</v>
      </c>
      <c r="L200" s="246">
        <v>26394</v>
      </c>
      <c r="M200" s="213">
        <f t="shared" si="159"/>
        <v>26394</v>
      </c>
      <c r="N200" s="207"/>
      <c r="O200" s="231"/>
      <c r="P200" s="230"/>
      <c r="Q200" s="230"/>
      <c r="R200" s="230"/>
      <c r="S200" s="213">
        <f t="shared" si="160"/>
        <v>0</v>
      </c>
      <c r="T200" s="216"/>
      <c r="U200" s="207"/>
      <c r="V200" s="216"/>
      <c r="W200" s="216"/>
      <c r="X200" s="216"/>
      <c r="Y200" s="213">
        <f t="shared" si="161"/>
        <v>0</v>
      </c>
      <c r="Z200" s="222">
        <v>2020</v>
      </c>
      <c r="AA200" s="228"/>
      <c r="AB200" s="218">
        <v>17064.665323548827</v>
      </c>
      <c r="AC200" s="220"/>
      <c r="AD200" s="220"/>
      <c r="AE200" s="220" t="str">
        <f t="shared" si="162"/>
        <v>V</v>
      </c>
      <c r="AF200" s="229"/>
      <c r="AG200" s="220" t="str">
        <f t="shared" si="163"/>
        <v>1</v>
      </c>
      <c r="AH200" s="220" t="str">
        <f t="shared" si="164"/>
        <v>1</v>
      </c>
      <c r="AI200" s="220"/>
      <c r="AJ200" s="221" t="str">
        <f t="shared" si="165"/>
        <v>2</v>
      </c>
      <c r="AK200" s="220" t="str">
        <f t="shared" si="166"/>
        <v>1.1..2</v>
      </c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</row>
    <row r="201" spans="1:61" ht="16.5" customHeight="1" outlineLevel="2">
      <c r="A201" s="207">
        <f t="shared" si="156"/>
        <v>185</v>
      </c>
      <c r="B201" s="207">
        <v>4</v>
      </c>
      <c r="C201" s="245" t="s">
        <v>1391</v>
      </c>
      <c r="D201" s="209">
        <v>69760.015452482301</v>
      </c>
      <c r="E201" s="504" t="s">
        <v>91</v>
      </c>
      <c r="F201" s="213">
        <f t="shared" si="167"/>
        <v>65755</v>
      </c>
      <c r="G201" s="207" t="s">
        <v>1076</v>
      </c>
      <c r="H201" s="223">
        <f t="shared" si="158"/>
        <v>2021</v>
      </c>
      <c r="I201" s="248" t="s">
        <v>304</v>
      </c>
      <c r="J201" s="246">
        <v>48967</v>
      </c>
      <c r="K201" s="246">
        <v>0</v>
      </c>
      <c r="L201" s="246">
        <v>65755</v>
      </c>
      <c r="M201" s="213">
        <f t="shared" si="159"/>
        <v>65755</v>
      </c>
      <c r="N201" s="207"/>
      <c r="O201" s="231"/>
      <c r="P201" s="230"/>
      <c r="Q201" s="230"/>
      <c r="R201" s="230"/>
      <c r="S201" s="213">
        <f t="shared" si="160"/>
        <v>0</v>
      </c>
      <c r="T201" s="216"/>
      <c r="U201" s="207"/>
      <c r="V201" s="216"/>
      <c r="W201" s="216"/>
      <c r="X201" s="216"/>
      <c r="Y201" s="213">
        <f t="shared" si="161"/>
        <v>0</v>
      </c>
      <c r="Z201" s="222">
        <v>2020</v>
      </c>
      <c r="AA201" s="228"/>
      <c r="AB201" s="218">
        <v>68985.719995509891</v>
      </c>
      <c r="AC201" s="220"/>
      <c r="AD201" s="220"/>
      <c r="AE201" s="220" t="str">
        <f t="shared" si="162"/>
        <v>V</v>
      </c>
      <c r="AF201" s="229"/>
      <c r="AG201" s="220" t="str">
        <f t="shared" si="163"/>
        <v>1</v>
      </c>
      <c r="AH201" s="220" t="str">
        <f t="shared" si="164"/>
        <v>1</v>
      </c>
      <c r="AI201" s="220"/>
      <c r="AJ201" s="221" t="str">
        <f t="shared" si="165"/>
        <v>2</v>
      </c>
      <c r="AK201" s="220" t="str">
        <f t="shared" si="166"/>
        <v>1.1..2</v>
      </c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1" ht="16.5" customHeight="1" outlineLevel="2">
      <c r="A202" s="207">
        <f t="shared" si="156"/>
        <v>186</v>
      </c>
      <c r="B202" s="207">
        <v>5</v>
      </c>
      <c r="C202" s="245" t="s">
        <v>1392</v>
      </c>
      <c r="D202" s="209">
        <v>27521.694127675477</v>
      </c>
      <c r="E202" s="504" t="s">
        <v>91</v>
      </c>
      <c r="F202" s="213">
        <f t="shared" si="167"/>
        <v>20694</v>
      </c>
      <c r="G202" s="207" t="s">
        <v>1076</v>
      </c>
      <c r="H202" s="223">
        <f t="shared" si="158"/>
        <v>2019</v>
      </c>
      <c r="I202" s="248" t="s">
        <v>331</v>
      </c>
      <c r="J202" s="246"/>
      <c r="K202" s="246">
        <v>0</v>
      </c>
      <c r="L202" s="246">
        <v>20694</v>
      </c>
      <c r="M202" s="213">
        <f t="shared" si="159"/>
        <v>20694</v>
      </c>
      <c r="N202" s="207"/>
      <c r="O202" s="253" t="s">
        <v>1393</v>
      </c>
      <c r="P202" s="230">
        <v>16500.990000000002</v>
      </c>
      <c r="Q202" s="230">
        <v>0</v>
      </c>
      <c r="R202" s="230">
        <v>16500.990000000002</v>
      </c>
      <c r="S202" s="213">
        <f t="shared" si="160"/>
        <v>16500.990000000002</v>
      </c>
      <c r="T202" s="216"/>
      <c r="U202" s="221"/>
      <c r="V202" s="216"/>
      <c r="W202" s="216"/>
      <c r="X202" s="216"/>
      <c r="Y202" s="213">
        <f t="shared" si="161"/>
        <v>0</v>
      </c>
      <c r="Z202" s="222">
        <v>2020</v>
      </c>
      <c r="AA202" s="228"/>
      <c r="AB202" s="218">
        <v>26237.825679063742</v>
      </c>
      <c r="AC202" s="220"/>
      <c r="AD202" s="220"/>
      <c r="AE202" s="220" t="str">
        <f t="shared" si="162"/>
        <v>V</v>
      </c>
      <c r="AF202" s="229"/>
      <c r="AG202" s="220" t="str">
        <f t="shared" si="163"/>
        <v>1</v>
      </c>
      <c r="AH202" s="220" t="str">
        <f t="shared" si="164"/>
        <v>1</v>
      </c>
      <c r="AI202" s="220"/>
      <c r="AJ202" s="221" t="str">
        <f t="shared" si="165"/>
        <v>1</v>
      </c>
      <c r="AK202" s="220" t="str">
        <f t="shared" si="166"/>
        <v>1.1..1</v>
      </c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spans="1:61" ht="16.5" customHeight="1" outlineLevel="2">
      <c r="A203" s="207">
        <f t="shared" si="156"/>
        <v>187</v>
      </c>
      <c r="B203" s="207">
        <v>6</v>
      </c>
      <c r="C203" s="245" t="s">
        <v>1394</v>
      </c>
      <c r="D203" s="209">
        <v>65108.001738484294</v>
      </c>
      <c r="E203" s="504" t="s">
        <v>91</v>
      </c>
      <c r="F203" s="213">
        <f t="shared" si="167"/>
        <v>67856</v>
      </c>
      <c r="G203" s="207" t="s">
        <v>1076</v>
      </c>
      <c r="H203" s="223">
        <f t="shared" si="158"/>
        <v>2019</v>
      </c>
      <c r="I203" s="248" t="s">
        <v>454</v>
      </c>
      <c r="J203" s="246">
        <v>67856</v>
      </c>
      <c r="K203" s="246">
        <v>0</v>
      </c>
      <c r="L203" s="246">
        <v>67856</v>
      </c>
      <c r="M203" s="213">
        <f t="shared" si="159"/>
        <v>67856</v>
      </c>
      <c r="N203" s="207"/>
      <c r="O203" s="231"/>
      <c r="P203" s="230"/>
      <c r="Q203" s="230"/>
      <c r="R203" s="230"/>
      <c r="S203" s="213">
        <f t="shared" si="160"/>
        <v>0</v>
      </c>
      <c r="T203" s="216"/>
      <c r="U203" s="207"/>
      <c r="V203" s="216"/>
      <c r="W203" s="216"/>
      <c r="X203" s="216"/>
      <c r="Y203" s="213">
        <f t="shared" si="161"/>
        <v>0</v>
      </c>
      <c r="Z203" s="222">
        <v>2020</v>
      </c>
      <c r="AA203" s="228"/>
      <c r="AB203" s="218">
        <v>64414.280486128067</v>
      </c>
      <c r="AC203" s="220"/>
      <c r="AD203" s="220"/>
      <c r="AE203" s="220" t="str">
        <f t="shared" si="162"/>
        <v>V</v>
      </c>
      <c r="AF203" s="229"/>
      <c r="AG203" s="220" t="str">
        <f t="shared" si="163"/>
        <v>1</v>
      </c>
      <c r="AH203" s="220" t="str">
        <f t="shared" si="164"/>
        <v>1</v>
      </c>
      <c r="AI203" s="220"/>
      <c r="AJ203" s="221" t="str">
        <f t="shared" si="165"/>
        <v>2</v>
      </c>
      <c r="AK203" s="220" t="str">
        <f t="shared" si="166"/>
        <v>1.1..2</v>
      </c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1" ht="16.5" customHeight="1" outlineLevel="2">
      <c r="A204" s="207">
        <f t="shared" si="156"/>
        <v>188</v>
      </c>
      <c r="B204" s="207">
        <v>7</v>
      </c>
      <c r="C204" s="245" t="s">
        <v>1395</v>
      </c>
      <c r="D204" s="209">
        <v>66526.662719224652</v>
      </c>
      <c r="E204" s="504" t="s">
        <v>91</v>
      </c>
      <c r="F204" s="213">
        <f t="shared" si="167"/>
        <v>58913</v>
      </c>
      <c r="G204" s="207" t="s">
        <v>1076</v>
      </c>
      <c r="H204" s="223">
        <f t="shared" si="158"/>
        <v>2021</v>
      </c>
      <c r="I204" s="248" t="s">
        <v>149</v>
      </c>
      <c r="J204" s="246">
        <v>53031</v>
      </c>
      <c r="K204" s="246">
        <v>0</v>
      </c>
      <c r="L204" s="246">
        <v>58913</v>
      </c>
      <c r="M204" s="213">
        <f t="shared" si="159"/>
        <v>58913</v>
      </c>
      <c r="N204" s="207"/>
      <c r="O204" s="253"/>
      <c r="P204" s="230"/>
      <c r="Q204" s="230"/>
      <c r="R204" s="230"/>
      <c r="S204" s="213">
        <f t="shared" si="160"/>
        <v>0</v>
      </c>
      <c r="T204" s="216" t="s">
        <v>1076</v>
      </c>
      <c r="U204" s="517" t="s">
        <v>1396</v>
      </c>
      <c r="V204" s="216">
        <v>53031</v>
      </c>
      <c r="W204" s="216">
        <v>5882</v>
      </c>
      <c r="X204" s="216"/>
      <c r="Y204" s="213">
        <f t="shared" si="161"/>
        <v>53031</v>
      </c>
      <c r="Z204" s="222" t="s">
        <v>1265</v>
      </c>
      <c r="AA204" s="228"/>
      <c r="AB204" s="218">
        <v>65720.106411840417</v>
      </c>
      <c r="AC204" s="220"/>
      <c r="AD204" s="220"/>
      <c r="AE204" s="220" t="str">
        <f t="shared" si="162"/>
        <v>VV</v>
      </c>
      <c r="AF204" s="229"/>
      <c r="AG204" s="220" t="str">
        <f t="shared" si="163"/>
        <v>1</v>
      </c>
      <c r="AH204" s="220" t="str">
        <f t="shared" si="164"/>
        <v>1</v>
      </c>
      <c r="AI204" s="220"/>
      <c r="AJ204" s="221" t="str">
        <f t="shared" si="165"/>
        <v>1</v>
      </c>
      <c r="AK204" s="220" t="str">
        <f t="shared" si="166"/>
        <v>1.1..1</v>
      </c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spans="1:61" ht="16.5" customHeight="1" outlineLevel="2">
      <c r="A205" s="207">
        <f t="shared" si="156"/>
        <v>189</v>
      </c>
      <c r="B205" s="207">
        <v>8</v>
      </c>
      <c r="C205" s="245" t="s">
        <v>1397</v>
      </c>
      <c r="D205" s="209">
        <v>59379.33971994579</v>
      </c>
      <c r="E205" s="504" t="s">
        <v>91</v>
      </c>
      <c r="F205" s="213">
        <f t="shared" si="167"/>
        <v>56530</v>
      </c>
      <c r="G205" s="207" t="s">
        <v>1076</v>
      </c>
      <c r="H205" s="223">
        <f t="shared" si="158"/>
        <v>2020</v>
      </c>
      <c r="I205" s="248" t="s">
        <v>262</v>
      </c>
      <c r="J205" s="246">
        <v>55520</v>
      </c>
      <c r="K205" s="246">
        <v>0</v>
      </c>
      <c r="L205" s="246">
        <v>56530</v>
      </c>
      <c r="M205" s="213">
        <f t="shared" si="159"/>
        <v>56530</v>
      </c>
      <c r="N205" s="207"/>
      <c r="O205" s="253"/>
      <c r="P205" s="230"/>
      <c r="Q205" s="230"/>
      <c r="R205" s="230"/>
      <c r="S205" s="213">
        <f t="shared" si="160"/>
        <v>0</v>
      </c>
      <c r="T205" s="216" t="s">
        <v>1076</v>
      </c>
      <c r="U205" s="517" t="s">
        <v>1398</v>
      </c>
      <c r="V205" s="216">
        <v>55520</v>
      </c>
      <c r="W205" s="216">
        <v>1010</v>
      </c>
      <c r="X205" s="216"/>
      <c r="Y205" s="213">
        <f t="shared" si="161"/>
        <v>55520</v>
      </c>
      <c r="Z205" s="222" t="s">
        <v>1265</v>
      </c>
      <c r="AA205" s="228"/>
      <c r="AB205" s="218">
        <v>56182.993034164741</v>
      </c>
      <c r="AC205" s="220"/>
      <c r="AD205" s="220"/>
      <c r="AE205" s="220" t="str">
        <f t="shared" si="162"/>
        <v>VV</v>
      </c>
      <c r="AF205" s="229"/>
      <c r="AG205" s="220" t="str">
        <f t="shared" si="163"/>
        <v>1</v>
      </c>
      <c r="AH205" s="220" t="str">
        <f t="shared" si="164"/>
        <v>1</v>
      </c>
      <c r="AI205" s="220"/>
      <c r="AJ205" s="221" t="str">
        <f t="shared" si="165"/>
        <v>1</v>
      </c>
      <c r="AK205" s="220" t="str">
        <f t="shared" si="166"/>
        <v>1.1..1</v>
      </c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spans="1:61" ht="16.5" customHeight="1" outlineLevel="2">
      <c r="A206" s="207">
        <f t="shared" si="156"/>
        <v>190</v>
      </c>
      <c r="B206" s="207">
        <v>9</v>
      </c>
      <c r="C206" s="245" t="s">
        <v>1399</v>
      </c>
      <c r="D206" s="209">
        <v>90776.136106103586</v>
      </c>
      <c r="E206" s="504" t="s">
        <v>91</v>
      </c>
      <c r="F206" s="213">
        <f t="shared" si="167"/>
        <v>71949</v>
      </c>
      <c r="G206" s="207" t="s">
        <v>1076</v>
      </c>
      <c r="H206" s="281">
        <f t="shared" si="158"/>
        <v>2021</v>
      </c>
      <c r="I206" s="212" t="s">
        <v>461</v>
      </c>
      <c r="J206" s="213"/>
      <c r="K206" s="213">
        <v>0</v>
      </c>
      <c r="L206" s="213">
        <v>71949</v>
      </c>
      <c r="M206" s="213">
        <f t="shared" si="159"/>
        <v>71949</v>
      </c>
      <c r="N206" s="207"/>
      <c r="O206" s="253" t="s">
        <v>1400</v>
      </c>
      <c r="P206" s="230">
        <v>71948.375</v>
      </c>
      <c r="Q206" s="230">
        <v>0</v>
      </c>
      <c r="R206" s="230">
        <v>0</v>
      </c>
      <c r="S206" s="213">
        <f t="shared" si="160"/>
        <v>71948.375</v>
      </c>
      <c r="T206" s="216" t="s">
        <v>1076</v>
      </c>
      <c r="U206" s="517" t="s">
        <v>1401</v>
      </c>
      <c r="V206" s="216"/>
      <c r="W206" s="216"/>
      <c r="X206" s="216"/>
      <c r="Y206" s="213">
        <f t="shared" si="161"/>
        <v>0</v>
      </c>
      <c r="Z206" s="222" t="s">
        <v>1265</v>
      </c>
      <c r="AA206" s="228"/>
      <c r="AB206" s="218">
        <v>87730.073758049795</v>
      </c>
      <c r="AC206" s="220"/>
      <c r="AD206" s="220"/>
      <c r="AE206" s="220" t="str">
        <f t="shared" si="162"/>
        <v>VV</v>
      </c>
      <c r="AF206" s="229"/>
      <c r="AG206" s="220" t="str">
        <f t="shared" si="163"/>
        <v>1</v>
      </c>
      <c r="AH206" s="220" t="str">
        <f t="shared" si="164"/>
        <v>1</v>
      </c>
      <c r="AI206" s="220"/>
      <c r="AJ206" s="221" t="str">
        <f t="shared" si="165"/>
        <v>1</v>
      </c>
      <c r="AK206" s="220" t="str">
        <f t="shared" si="166"/>
        <v>1.1..1</v>
      </c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1" ht="16.5" customHeight="1" outlineLevel="2">
      <c r="A207" s="207">
        <f t="shared" si="156"/>
        <v>191</v>
      </c>
      <c r="B207" s="207">
        <v>10</v>
      </c>
      <c r="C207" s="245" t="s">
        <v>1402</v>
      </c>
      <c r="D207" s="209">
        <v>26409.936588185781</v>
      </c>
      <c r="E207" s="504" t="s">
        <v>104</v>
      </c>
      <c r="F207" s="213">
        <f t="shared" si="167"/>
        <v>0</v>
      </c>
      <c r="G207" s="207"/>
      <c r="H207" s="281">
        <f t="shared" si="158"/>
        <v>2011</v>
      </c>
      <c r="I207" s="212" t="s">
        <v>932</v>
      </c>
      <c r="J207" s="213"/>
      <c r="K207" s="213"/>
      <c r="L207" s="213"/>
      <c r="M207" s="213">
        <f t="shared" si="159"/>
        <v>0</v>
      </c>
      <c r="N207" s="207"/>
      <c r="O207" s="505" t="s">
        <v>1403</v>
      </c>
      <c r="P207" s="230">
        <v>0</v>
      </c>
      <c r="Q207" s="230">
        <v>0</v>
      </c>
      <c r="R207" s="230">
        <v>0</v>
      </c>
      <c r="S207" s="213">
        <f t="shared" si="160"/>
        <v>0</v>
      </c>
      <c r="T207" s="216"/>
      <c r="U207" s="207"/>
      <c r="V207" s="216"/>
      <c r="W207" s="216"/>
      <c r="X207" s="216"/>
      <c r="Y207" s="213">
        <f t="shared" si="161"/>
        <v>0</v>
      </c>
      <c r="Z207" s="222">
        <v>2022</v>
      </c>
      <c r="AA207" s="228"/>
      <c r="AB207" s="218">
        <v>24652.87803272247</v>
      </c>
      <c r="AC207" s="220"/>
      <c r="AD207" s="220"/>
      <c r="AE207" s="220" t="str">
        <f t="shared" si="162"/>
        <v/>
      </c>
      <c r="AF207" s="229"/>
      <c r="AG207" s="220" t="str">
        <f t="shared" si="163"/>
        <v>2</v>
      </c>
      <c r="AH207" s="220" t="str">
        <f t="shared" si="164"/>
        <v>2</v>
      </c>
      <c r="AI207" s="220"/>
      <c r="AJ207" s="221" t="str">
        <f t="shared" si="165"/>
        <v>2</v>
      </c>
      <c r="AK207" s="220" t="str">
        <f t="shared" si="166"/>
        <v>2.2..2</v>
      </c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1" ht="16.5" customHeight="1" outlineLevel="2">
      <c r="A208" s="207">
        <f t="shared" si="156"/>
        <v>192</v>
      </c>
      <c r="B208" s="207">
        <v>11</v>
      </c>
      <c r="C208" s="245" t="s">
        <v>1404</v>
      </c>
      <c r="D208" s="209">
        <v>22268.698337961141</v>
      </c>
      <c r="E208" s="504" t="s">
        <v>91</v>
      </c>
      <c r="F208" s="213">
        <f t="shared" si="167"/>
        <v>23618</v>
      </c>
      <c r="G208" s="207" t="s">
        <v>1076</v>
      </c>
      <c r="H208" s="223">
        <f t="shared" si="158"/>
        <v>2019</v>
      </c>
      <c r="I208" s="248" t="s">
        <v>465</v>
      </c>
      <c r="J208" s="246">
        <v>23618</v>
      </c>
      <c r="K208" s="246">
        <v>0</v>
      </c>
      <c r="L208" s="246">
        <v>23618</v>
      </c>
      <c r="M208" s="213">
        <f t="shared" si="159"/>
        <v>23618</v>
      </c>
      <c r="N208" s="207"/>
      <c r="O208" s="231"/>
      <c r="P208" s="230"/>
      <c r="Q208" s="230"/>
      <c r="R208" s="230"/>
      <c r="S208" s="213">
        <f t="shared" si="160"/>
        <v>0</v>
      </c>
      <c r="T208" s="216"/>
      <c r="U208" s="207"/>
      <c r="V208" s="216"/>
      <c r="W208" s="216"/>
      <c r="X208" s="216"/>
      <c r="Y208" s="213">
        <f t="shared" si="161"/>
        <v>0</v>
      </c>
      <c r="Z208" s="222">
        <v>2020</v>
      </c>
      <c r="AA208" s="228"/>
      <c r="AB208" s="218">
        <v>21782.81314124633</v>
      </c>
      <c r="AC208" s="220"/>
      <c r="AD208" s="220"/>
      <c r="AE208" s="220" t="str">
        <f t="shared" si="162"/>
        <v>V</v>
      </c>
      <c r="AF208" s="229"/>
      <c r="AG208" s="220" t="str">
        <f t="shared" si="163"/>
        <v>1</v>
      </c>
      <c r="AH208" s="220" t="str">
        <f t="shared" si="164"/>
        <v>1</v>
      </c>
      <c r="AI208" s="220"/>
      <c r="AJ208" s="221" t="str">
        <f t="shared" si="165"/>
        <v>2</v>
      </c>
      <c r="AK208" s="220" t="str">
        <f t="shared" si="166"/>
        <v>1.1..2</v>
      </c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spans="1:61" ht="16.5" customHeight="1" outlineLevel="2">
      <c r="A209" s="207">
        <f t="shared" si="156"/>
        <v>193</v>
      </c>
      <c r="B209" s="207">
        <v>12</v>
      </c>
      <c r="C209" s="245" t="s">
        <v>1405</v>
      </c>
      <c r="D209" s="209">
        <v>44085.109809824826</v>
      </c>
      <c r="E209" s="504" t="s">
        <v>91</v>
      </c>
      <c r="F209" s="213">
        <f>X209</f>
        <v>43154.14</v>
      </c>
      <c r="G209" s="207"/>
      <c r="H209" s="281">
        <f t="shared" si="158"/>
        <v>2012</v>
      </c>
      <c r="I209" s="212" t="s">
        <v>1406</v>
      </c>
      <c r="J209" s="213">
        <v>44986</v>
      </c>
      <c r="K209" s="213">
        <v>0</v>
      </c>
      <c r="L209" s="213">
        <v>44986</v>
      </c>
      <c r="M209" s="213">
        <f t="shared" si="159"/>
        <v>44986</v>
      </c>
      <c r="N209" s="207"/>
      <c r="O209" s="231"/>
      <c r="P209" s="230"/>
      <c r="Q209" s="230"/>
      <c r="R209" s="230"/>
      <c r="S209" s="213">
        <f t="shared" si="160"/>
        <v>0</v>
      </c>
      <c r="T209" s="216" t="s">
        <v>1076</v>
      </c>
      <c r="U209" s="227" t="s">
        <v>467</v>
      </c>
      <c r="V209" s="216">
        <v>39399.39</v>
      </c>
      <c r="W209" s="216">
        <v>3754.75</v>
      </c>
      <c r="X209" s="216">
        <v>43154.14</v>
      </c>
      <c r="Y209" s="213">
        <f t="shared" si="161"/>
        <v>43154.14</v>
      </c>
      <c r="Z209" s="222">
        <v>2022</v>
      </c>
      <c r="AA209" s="228"/>
      <c r="AB209" s="218">
        <v>43267.440030875761</v>
      </c>
      <c r="AC209" s="220"/>
      <c r="AD209" s="220"/>
      <c r="AE209" s="220" t="str">
        <f t="shared" si="162"/>
        <v>V</v>
      </c>
      <c r="AF209" s="229"/>
      <c r="AG209" s="220" t="str">
        <f t="shared" si="163"/>
        <v>2</v>
      </c>
      <c r="AH209" s="220" t="str">
        <f t="shared" si="164"/>
        <v>1</v>
      </c>
      <c r="AI209" s="220"/>
      <c r="AJ209" s="221" t="str">
        <f t="shared" si="165"/>
        <v>1</v>
      </c>
      <c r="AK209" s="220" t="str">
        <f t="shared" si="166"/>
        <v>2.1..1</v>
      </c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</row>
    <row r="210" spans="1:61" ht="16.5" customHeight="1" outlineLevel="2">
      <c r="A210" s="207">
        <f t="shared" si="156"/>
        <v>194</v>
      </c>
      <c r="B210" s="207">
        <v>13</v>
      </c>
      <c r="C210" s="245" t="s">
        <v>1407</v>
      </c>
      <c r="D210" s="209">
        <v>24334.791728148804</v>
      </c>
      <c r="E210" s="504" t="s">
        <v>91</v>
      </c>
      <c r="F210" s="213">
        <f t="shared" ref="F210:F218" si="168">IF(M210&gt;0,M210,IF(S210&gt;0,S210,IF(Y210&gt;0,Y210,0)))</f>
        <v>25000</v>
      </c>
      <c r="G210" s="207" t="s">
        <v>1076</v>
      </c>
      <c r="H210" s="223">
        <f t="shared" si="158"/>
        <v>2020</v>
      </c>
      <c r="I210" s="248" t="s">
        <v>262</v>
      </c>
      <c r="J210" s="246">
        <v>22666</v>
      </c>
      <c r="K210" s="246">
        <v>0</v>
      </c>
      <c r="L210" s="246">
        <v>25000</v>
      </c>
      <c r="M210" s="213">
        <f t="shared" si="159"/>
        <v>25000</v>
      </c>
      <c r="N210" s="207"/>
      <c r="O210" s="253" t="s">
        <v>1408</v>
      </c>
      <c r="P210" s="230">
        <v>22666</v>
      </c>
      <c r="Q210" s="230">
        <v>2284</v>
      </c>
      <c r="R210" s="230">
        <v>25000</v>
      </c>
      <c r="S210" s="213">
        <f t="shared" si="160"/>
        <v>25000</v>
      </c>
      <c r="T210" s="216"/>
      <c r="U210" s="221"/>
      <c r="V210" s="216"/>
      <c r="W210" s="216"/>
      <c r="X210" s="216"/>
      <c r="Y210" s="213">
        <f t="shared" si="161"/>
        <v>0</v>
      </c>
      <c r="Z210" s="222">
        <v>2020</v>
      </c>
      <c r="AA210" s="228"/>
      <c r="AB210" s="218">
        <v>22922.273732272868</v>
      </c>
      <c r="AC210" s="220"/>
      <c r="AD210" s="220"/>
      <c r="AE210" s="220" t="str">
        <f t="shared" si="162"/>
        <v>V</v>
      </c>
      <c r="AF210" s="229"/>
      <c r="AG210" s="220" t="str">
        <f t="shared" si="163"/>
        <v>1</v>
      </c>
      <c r="AH210" s="220" t="str">
        <f t="shared" si="164"/>
        <v>1</v>
      </c>
      <c r="AI210" s="220"/>
      <c r="AJ210" s="221" t="str">
        <f t="shared" si="165"/>
        <v>1</v>
      </c>
      <c r="AK210" s="220" t="str">
        <f t="shared" si="166"/>
        <v>1.1..1</v>
      </c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</row>
    <row r="211" spans="1:61" ht="16.5" customHeight="1" outlineLevel="2">
      <c r="A211" s="207">
        <f t="shared" si="156"/>
        <v>195</v>
      </c>
      <c r="B211" s="207">
        <v>14</v>
      </c>
      <c r="C211" s="245" t="s">
        <v>1409</v>
      </c>
      <c r="D211" s="209">
        <v>31705.462726412577</v>
      </c>
      <c r="E211" s="504" t="s">
        <v>91</v>
      </c>
      <c r="F211" s="213">
        <f t="shared" si="168"/>
        <v>32000</v>
      </c>
      <c r="G211" s="207" t="s">
        <v>1076</v>
      </c>
      <c r="H211" s="223">
        <f t="shared" si="158"/>
        <v>2021</v>
      </c>
      <c r="I211" s="248" t="s">
        <v>470</v>
      </c>
      <c r="J211" s="246"/>
      <c r="K211" s="246">
        <v>0</v>
      </c>
      <c r="L211" s="246">
        <v>32000</v>
      </c>
      <c r="M211" s="213">
        <f t="shared" si="159"/>
        <v>32000</v>
      </c>
      <c r="N211" s="207"/>
      <c r="O211" s="231"/>
      <c r="P211" s="230"/>
      <c r="Q211" s="230"/>
      <c r="R211" s="230"/>
      <c r="S211" s="213">
        <f t="shared" si="160"/>
        <v>0</v>
      </c>
      <c r="T211" s="216"/>
      <c r="U211" s="207"/>
      <c r="V211" s="216"/>
      <c r="W211" s="216"/>
      <c r="X211" s="216"/>
      <c r="Y211" s="213">
        <f t="shared" si="161"/>
        <v>0</v>
      </c>
      <c r="Z211" s="222">
        <v>2020</v>
      </c>
      <c r="AA211" s="228"/>
      <c r="AB211" s="218">
        <v>30276.982025758411</v>
      </c>
      <c r="AC211" s="220"/>
      <c r="AD211" s="220"/>
      <c r="AE211" s="220" t="str">
        <f t="shared" si="162"/>
        <v>V</v>
      </c>
      <c r="AF211" s="229"/>
      <c r="AG211" s="220" t="str">
        <f t="shared" si="163"/>
        <v>1</v>
      </c>
      <c r="AH211" s="220" t="str">
        <f t="shared" si="164"/>
        <v>1</v>
      </c>
      <c r="AI211" s="220"/>
      <c r="AJ211" s="221" t="str">
        <f t="shared" si="165"/>
        <v>2</v>
      </c>
      <c r="AK211" s="220" t="str">
        <f t="shared" si="166"/>
        <v>1.1..2</v>
      </c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spans="1:61" ht="16.5" customHeight="1" outlineLevel="2">
      <c r="A212" s="207">
        <f t="shared" si="156"/>
        <v>196</v>
      </c>
      <c r="B212" s="207">
        <v>15</v>
      </c>
      <c r="C212" s="245" t="s">
        <v>1410</v>
      </c>
      <c r="D212" s="209">
        <v>170.95386731419504</v>
      </c>
      <c r="E212" s="504" t="s">
        <v>91</v>
      </c>
      <c r="F212" s="213">
        <f t="shared" si="168"/>
        <v>63</v>
      </c>
      <c r="G212" s="207" t="s">
        <v>1076</v>
      </c>
      <c r="H212" s="223">
        <f t="shared" si="158"/>
        <v>2020</v>
      </c>
      <c r="I212" s="248" t="s">
        <v>389</v>
      </c>
      <c r="J212" s="246">
        <v>63</v>
      </c>
      <c r="K212" s="246">
        <v>0</v>
      </c>
      <c r="L212" s="246">
        <v>63</v>
      </c>
      <c r="M212" s="213">
        <f t="shared" si="159"/>
        <v>63</v>
      </c>
      <c r="N212" s="207"/>
      <c r="O212" s="231"/>
      <c r="P212" s="230"/>
      <c r="Q212" s="230"/>
      <c r="R212" s="230"/>
      <c r="S212" s="213">
        <f t="shared" si="160"/>
        <v>0</v>
      </c>
      <c r="T212" s="216"/>
      <c r="U212" s="207"/>
      <c r="V212" s="216"/>
      <c r="W212" s="216"/>
      <c r="X212" s="216"/>
      <c r="Y212" s="213">
        <f t="shared" si="161"/>
        <v>0</v>
      </c>
      <c r="Z212" s="222">
        <v>2020</v>
      </c>
      <c r="AA212" s="228"/>
      <c r="AB212" s="218">
        <v>158.26912881118568</v>
      </c>
      <c r="AC212" s="220"/>
      <c r="AD212" s="220"/>
      <c r="AE212" s="220" t="str">
        <f t="shared" si="162"/>
        <v>V</v>
      </c>
      <c r="AF212" s="229"/>
      <c r="AG212" s="220" t="str">
        <f t="shared" si="163"/>
        <v>1</v>
      </c>
      <c r="AH212" s="220" t="str">
        <f t="shared" si="164"/>
        <v>1</v>
      </c>
      <c r="AI212" s="220"/>
      <c r="AJ212" s="221" t="str">
        <f t="shared" si="165"/>
        <v>2</v>
      </c>
      <c r="AK212" s="220" t="str">
        <f t="shared" si="166"/>
        <v>1.1..2</v>
      </c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spans="1:61" ht="16.5" customHeight="1" outlineLevel="2">
      <c r="A213" s="207">
        <f t="shared" si="156"/>
        <v>197</v>
      </c>
      <c r="B213" s="207">
        <v>16</v>
      </c>
      <c r="C213" s="245" t="s">
        <v>1411</v>
      </c>
      <c r="D213" s="209">
        <v>955.78232036645784</v>
      </c>
      <c r="E213" s="504" t="s">
        <v>91</v>
      </c>
      <c r="F213" s="213">
        <f t="shared" si="168"/>
        <v>521</v>
      </c>
      <c r="G213" s="207" t="s">
        <v>1076</v>
      </c>
      <c r="H213" s="223">
        <f t="shared" si="158"/>
        <v>2020</v>
      </c>
      <c r="I213" s="248" t="s">
        <v>392</v>
      </c>
      <c r="J213" s="246">
        <v>0</v>
      </c>
      <c r="K213" s="246">
        <v>0</v>
      </c>
      <c r="L213" s="246">
        <v>521</v>
      </c>
      <c r="M213" s="213">
        <f t="shared" si="159"/>
        <v>521</v>
      </c>
      <c r="N213" s="207"/>
      <c r="O213" s="231"/>
      <c r="P213" s="230"/>
      <c r="Q213" s="230"/>
      <c r="R213" s="230"/>
      <c r="S213" s="213">
        <f t="shared" si="160"/>
        <v>0</v>
      </c>
      <c r="T213" s="216"/>
      <c r="U213" s="207"/>
      <c r="V213" s="216"/>
      <c r="W213" s="216"/>
      <c r="X213" s="216"/>
      <c r="Y213" s="213">
        <f t="shared" si="161"/>
        <v>0</v>
      </c>
      <c r="Z213" s="222">
        <v>2020</v>
      </c>
      <c r="AA213" s="228"/>
      <c r="AB213" s="218">
        <v>775.16904616668103</v>
      </c>
      <c r="AC213" s="220"/>
      <c r="AD213" s="220"/>
      <c r="AE213" s="220" t="str">
        <f t="shared" si="162"/>
        <v>V</v>
      </c>
      <c r="AF213" s="229"/>
      <c r="AG213" s="220" t="str">
        <f t="shared" si="163"/>
        <v>1</v>
      </c>
      <c r="AH213" s="220" t="str">
        <f t="shared" si="164"/>
        <v>1</v>
      </c>
      <c r="AI213" s="220"/>
      <c r="AJ213" s="221" t="str">
        <f t="shared" si="165"/>
        <v>2</v>
      </c>
      <c r="AK213" s="220" t="str">
        <f t="shared" si="166"/>
        <v>1.1..2</v>
      </c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</row>
    <row r="214" spans="1:61" ht="16.5" customHeight="1" outlineLevel="2">
      <c r="A214" s="207">
        <f t="shared" si="156"/>
        <v>198</v>
      </c>
      <c r="B214" s="207">
        <v>17</v>
      </c>
      <c r="C214" s="245" t="s">
        <v>1412</v>
      </c>
      <c r="D214" s="209">
        <v>623.50063346359082</v>
      </c>
      <c r="E214" s="504" t="s">
        <v>104</v>
      </c>
      <c r="F214" s="213">
        <f t="shared" si="168"/>
        <v>479</v>
      </c>
      <c r="G214" s="207"/>
      <c r="H214" s="281">
        <f t="shared" si="158"/>
        <v>2011</v>
      </c>
      <c r="I214" s="212" t="s">
        <v>1413</v>
      </c>
      <c r="J214" s="213">
        <v>479</v>
      </c>
      <c r="K214" s="213">
        <v>0</v>
      </c>
      <c r="L214" s="213">
        <v>479</v>
      </c>
      <c r="M214" s="213">
        <f t="shared" si="159"/>
        <v>479</v>
      </c>
      <c r="N214" s="207"/>
      <c r="O214" s="253" t="s">
        <v>1414</v>
      </c>
      <c r="P214" s="230">
        <v>0</v>
      </c>
      <c r="Q214" s="230">
        <v>0</v>
      </c>
      <c r="R214" s="230">
        <v>0</v>
      </c>
      <c r="S214" s="213">
        <f t="shared" si="160"/>
        <v>0</v>
      </c>
      <c r="T214" s="216"/>
      <c r="U214" s="221"/>
      <c r="V214" s="216"/>
      <c r="W214" s="216"/>
      <c r="X214" s="216"/>
      <c r="Y214" s="213">
        <f t="shared" si="161"/>
        <v>0</v>
      </c>
      <c r="Z214" s="222" t="s">
        <v>1097</v>
      </c>
      <c r="AA214" s="228"/>
      <c r="AB214" s="218">
        <v>456.13090818085089</v>
      </c>
      <c r="AC214" s="220"/>
      <c r="AD214" s="220"/>
      <c r="AE214" s="220" t="str">
        <f t="shared" si="162"/>
        <v/>
      </c>
      <c r="AF214" s="229"/>
      <c r="AG214" s="220" t="str">
        <f t="shared" si="163"/>
        <v>2</v>
      </c>
      <c r="AH214" s="220" t="str">
        <f t="shared" si="164"/>
        <v>1</v>
      </c>
      <c r="AI214" s="220"/>
      <c r="AJ214" s="221" t="str">
        <f t="shared" si="165"/>
        <v>2</v>
      </c>
      <c r="AK214" s="220" t="str">
        <f t="shared" si="166"/>
        <v>2.1..2</v>
      </c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</row>
    <row r="215" spans="1:61" ht="16.5" customHeight="1" outlineLevel="2">
      <c r="A215" s="207">
        <f t="shared" si="156"/>
        <v>199</v>
      </c>
      <c r="B215" s="207">
        <v>18</v>
      </c>
      <c r="C215" s="245" t="s">
        <v>1415</v>
      </c>
      <c r="D215" s="209">
        <v>2645.0035349671075</v>
      </c>
      <c r="E215" s="504" t="s">
        <v>91</v>
      </c>
      <c r="F215" s="213">
        <f t="shared" si="168"/>
        <v>2602</v>
      </c>
      <c r="G215" s="207" t="s">
        <v>1076</v>
      </c>
      <c r="H215" s="223">
        <f t="shared" si="158"/>
        <v>2021</v>
      </c>
      <c r="I215" s="248" t="s">
        <v>304</v>
      </c>
      <c r="J215" s="246">
        <v>1663</v>
      </c>
      <c r="K215" s="246">
        <v>0</v>
      </c>
      <c r="L215" s="246">
        <v>2602</v>
      </c>
      <c r="M215" s="213">
        <f t="shared" si="159"/>
        <v>2602</v>
      </c>
      <c r="N215" s="207"/>
      <c r="O215" s="231"/>
      <c r="P215" s="230"/>
      <c r="Q215" s="230"/>
      <c r="R215" s="230"/>
      <c r="S215" s="213">
        <f t="shared" si="160"/>
        <v>0</v>
      </c>
      <c r="T215" s="216"/>
      <c r="U215" s="207"/>
      <c r="V215" s="216"/>
      <c r="W215" s="216"/>
      <c r="X215" s="216"/>
      <c r="Y215" s="213">
        <f t="shared" si="161"/>
        <v>0</v>
      </c>
      <c r="Z215" s="222">
        <v>2020</v>
      </c>
      <c r="AA215" s="228"/>
      <c r="AB215" s="218">
        <v>1851.1937979012632</v>
      </c>
      <c r="AC215" s="220"/>
      <c r="AD215" s="220"/>
      <c r="AE215" s="220" t="str">
        <f t="shared" si="162"/>
        <v>V</v>
      </c>
      <c r="AF215" s="229"/>
      <c r="AG215" s="220" t="str">
        <f t="shared" si="163"/>
        <v>1</v>
      </c>
      <c r="AH215" s="220" t="str">
        <f t="shared" si="164"/>
        <v>1</v>
      </c>
      <c r="AI215" s="220"/>
      <c r="AJ215" s="221" t="str">
        <f t="shared" si="165"/>
        <v>2</v>
      </c>
      <c r="AK215" s="220" t="str">
        <f t="shared" si="166"/>
        <v>1.1..2</v>
      </c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</row>
    <row r="216" spans="1:61" ht="16.5" customHeight="1" outlineLevel="2">
      <c r="A216" s="207">
        <f t="shared" si="156"/>
        <v>200</v>
      </c>
      <c r="B216" s="207">
        <v>19</v>
      </c>
      <c r="C216" s="245" t="s">
        <v>1416</v>
      </c>
      <c r="D216" s="209">
        <v>80.500914743999957</v>
      </c>
      <c r="E216" s="504" t="s">
        <v>104</v>
      </c>
      <c r="F216" s="213">
        <f t="shared" si="168"/>
        <v>111</v>
      </c>
      <c r="G216" s="207"/>
      <c r="H216" s="281">
        <f t="shared" si="158"/>
        <v>2021</v>
      </c>
      <c r="I216" s="212" t="s">
        <v>498</v>
      </c>
      <c r="J216" s="292">
        <v>111</v>
      </c>
      <c r="K216" s="292">
        <v>0</v>
      </c>
      <c r="L216" s="292">
        <v>111</v>
      </c>
      <c r="M216" s="213">
        <f t="shared" si="159"/>
        <v>111</v>
      </c>
      <c r="N216" s="207"/>
      <c r="O216" s="231"/>
      <c r="P216" s="230"/>
      <c r="Q216" s="230"/>
      <c r="R216" s="230"/>
      <c r="S216" s="213">
        <f t="shared" si="160"/>
        <v>0</v>
      </c>
      <c r="T216" s="216"/>
      <c r="U216" s="207"/>
      <c r="V216" s="216"/>
      <c r="W216" s="216"/>
      <c r="X216" s="216"/>
      <c r="Y216" s="213">
        <f t="shared" si="161"/>
        <v>0</v>
      </c>
      <c r="Z216" s="222" t="s">
        <v>1097</v>
      </c>
      <c r="AA216" s="228"/>
      <c r="AB216" s="218">
        <v>63.623854682828984</v>
      </c>
      <c r="AC216" s="220"/>
      <c r="AD216" s="220"/>
      <c r="AE216" s="220" t="str">
        <f t="shared" si="162"/>
        <v/>
      </c>
      <c r="AF216" s="229"/>
      <c r="AG216" s="220" t="str">
        <f t="shared" si="163"/>
        <v>1</v>
      </c>
      <c r="AH216" s="220" t="str">
        <f t="shared" si="164"/>
        <v>1</v>
      </c>
      <c r="AI216" s="220"/>
      <c r="AJ216" s="221" t="str">
        <f t="shared" si="165"/>
        <v>2</v>
      </c>
      <c r="AK216" s="220" t="str">
        <f t="shared" si="166"/>
        <v>1.1..2</v>
      </c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spans="1:61" ht="16.5" customHeight="1" outlineLevel="2">
      <c r="A217" s="207">
        <f t="shared" si="156"/>
        <v>201</v>
      </c>
      <c r="B217" s="207">
        <v>20</v>
      </c>
      <c r="C217" s="245" t="s">
        <v>1417</v>
      </c>
      <c r="D217" s="209">
        <v>592.76015424270008</v>
      </c>
      <c r="E217" s="504" t="s">
        <v>91</v>
      </c>
      <c r="F217" s="213">
        <f t="shared" si="168"/>
        <v>382</v>
      </c>
      <c r="G217" s="207" t="s">
        <v>1076</v>
      </c>
      <c r="H217" s="223">
        <f t="shared" si="158"/>
        <v>2021</v>
      </c>
      <c r="I217" s="248" t="s">
        <v>149</v>
      </c>
      <c r="J217" s="246">
        <v>1060</v>
      </c>
      <c r="K217" s="246">
        <v>0</v>
      </c>
      <c r="L217" s="246">
        <v>382</v>
      </c>
      <c r="M217" s="213">
        <f t="shared" si="159"/>
        <v>382</v>
      </c>
      <c r="N217" s="207"/>
      <c r="O217" s="231"/>
      <c r="P217" s="230"/>
      <c r="Q217" s="230"/>
      <c r="R217" s="230"/>
      <c r="S217" s="213">
        <f t="shared" si="160"/>
        <v>0</v>
      </c>
      <c r="T217" s="216"/>
      <c r="U217" s="207"/>
      <c r="V217" s="216"/>
      <c r="W217" s="216"/>
      <c r="X217" s="216"/>
      <c r="Y217" s="213">
        <f t="shared" si="161"/>
        <v>0</v>
      </c>
      <c r="Z217" s="222">
        <v>2020</v>
      </c>
      <c r="AA217" s="228"/>
      <c r="AB217" s="218">
        <v>495.06893965880971</v>
      </c>
      <c r="AC217" s="220"/>
      <c r="AD217" s="220"/>
      <c r="AE217" s="220" t="str">
        <f t="shared" si="162"/>
        <v>V</v>
      </c>
      <c r="AF217" s="229"/>
      <c r="AG217" s="220" t="str">
        <f t="shared" si="163"/>
        <v>1</v>
      </c>
      <c r="AH217" s="220" t="str">
        <f t="shared" si="164"/>
        <v>1</v>
      </c>
      <c r="AI217" s="220"/>
      <c r="AJ217" s="221" t="str">
        <f t="shared" si="165"/>
        <v>2</v>
      </c>
      <c r="AK217" s="220" t="str">
        <f t="shared" si="166"/>
        <v>1.1..2</v>
      </c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</row>
    <row r="218" spans="1:61" ht="16.5" customHeight="1" outlineLevel="2">
      <c r="A218" s="207">
        <f t="shared" si="156"/>
        <v>202</v>
      </c>
      <c r="B218" s="207">
        <v>21</v>
      </c>
      <c r="C218" s="245" t="s">
        <v>1418</v>
      </c>
      <c r="D218" s="209">
        <v>19984.066232970941</v>
      </c>
      <c r="E218" s="504" t="s">
        <v>91</v>
      </c>
      <c r="F218" s="213">
        <f t="shared" si="168"/>
        <v>20005</v>
      </c>
      <c r="G218" s="207" t="s">
        <v>1076</v>
      </c>
      <c r="H218" s="281">
        <f t="shared" si="158"/>
        <v>2022</v>
      </c>
      <c r="I218" s="212" t="s">
        <v>159</v>
      </c>
      <c r="J218" s="213">
        <v>0</v>
      </c>
      <c r="K218" s="213">
        <v>0</v>
      </c>
      <c r="L218" s="213">
        <v>20005</v>
      </c>
      <c r="M218" s="213">
        <f t="shared" si="159"/>
        <v>20005</v>
      </c>
      <c r="N218" s="207"/>
      <c r="O218" s="231"/>
      <c r="P218" s="230"/>
      <c r="Q218" s="230"/>
      <c r="R218" s="230"/>
      <c r="S218" s="213">
        <f t="shared" si="160"/>
        <v>0</v>
      </c>
      <c r="T218" s="216"/>
      <c r="U218" s="207"/>
      <c r="V218" s="216"/>
      <c r="W218" s="216"/>
      <c r="X218" s="216"/>
      <c r="Y218" s="213">
        <f t="shared" si="161"/>
        <v>0</v>
      </c>
      <c r="Z218" s="222" t="s">
        <v>1177</v>
      </c>
      <c r="AA218" s="228"/>
      <c r="AB218" s="218">
        <v>19203.851911762951</v>
      </c>
      <c r="AC218" s="220"/>
      <c r="AD218" s="220"/>
      <c r="AE218" s="220" t="str">
        <f t="shared" si="162"/>
        <v>V</v>
      </c>
      <c r="AF218" s="229"/>
      <c r="AG218" s="220" t="str">
        <f t="shared" si="163"/>
        <v>1</v>
      </c>
      <c r="AH218" s="220" t="str">
        <f t="shared" si="164"/>
        <v>1</v>
      </c>
      <c r="AI218" s="220"/>
      <c r="AJ218" s="221" t="str">
        <f t="shared" si="165"/>
        <v>2</v>
      </c>
      <c r="AK218" s="220" t="str">
        <f t="shared" si="166"/>
        <v>1.1..2</v>
      </c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</row>
    <row r="219" spans="1:61" ht="16.5" customHeight="1" outlineLevel="2">
      <c r="A219" s="207">
        <f t="shared" si="156"/>
        <v>203</v>
      </c>
      <c r="B219" s="207">
        <v>22</v>
      </c>
      <c r="C219" s="245" t="s">
        <v>1419</v>
      </c>
      <c r="D219" s="209">
        <v>28690.964144130765</v>
      </c>
      <c r="E219" s="504" t="s">
        <v>91</v>
      </c>
      <c r="F219" s="213">
        <f>Y219</f>
        <v>25268.720000000001</v>
      </c>
      <c r="G219" s="207"/>
      <c r="H219" s="281">
        <f t="shared" si="158"/>
        <v>2011</v>
      </c>
      <c r="I219" s="212" t="s">
        <v>1420</v>
      </c>
      <c r="J219" s="213">
        <v>42070</v>
      </c>
      <c r="K219" s="213">
        <v>0</v>
      </c>
      <c r="L219" s="213">
        <v>42070</v>
      </c>
      <c r="M219" s="213">
        <f t="shared" si="159"/>
        <v>42070</v>
      </c>
      <c r="N219" s="207"/>
      <c r="O219" s="253"/>
      <c r="P219" s="230"/>
      <c r="Q219" s="230"/>
      <c r="R219" s="230"/>
      <c r="S219" s="213">
        <f t="shared" si="160"/>
        <v>0</v>
      </c>
      <c r="T219" s="216" t="s">
        <v>1076</v>
      </c>
      <c r="U219" s="517" t="s">
        <v>473</v>
      </c>
      <c r="V219" s="216">
        <v>25268.720000000001</v>
      </c>
      <c r="W219" s="216"/>
      <c r="X219" s="216"/>
      <c r="Y219" s="213">
        <f t="shared" si="161"/>
        <v>25268.720000000001</v>
      </c>
      <c r="Z219" s="222">
        <v>2021</v>
      </c>
      <c r="AA219" s="228"/>
      <c r="AB219" s="218">
        <v>28670.418337749845</v>
      </c>
      <c r="AC219" s="220"/>
      <c r="AD219" s="220"/>
      <c r="AE219" s="220" t="str">
        <f t="shared" si="162"/>
        <v>V</v>
      </c>
      <c r="AF219" s="229"/>
      <c r="AG219" s="220" t="str">
        <f t="shared" si="163"/>
        <v>2</v>
      </c>
      <c r="AH219" s="220" t="str">
        <f t="shared" si="164"/>
        <v>1</v>
      </c>
      <c r="AI219" s="220"/>
      <c r="AJ219" s="221" t="str">
        <f t="shared" si="165"/>
        <v>1</v>
      </c>
      <c r="AK219" s="220" t="str">
        <f t="shared" si="166"/>
        <v>2.1..1</v>
      </c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spans="1:61" ht="16.5" customHeight="1" outlineLevel="2">
      <c r="A220" s="207">
        <f t="shared" si="156"/>
        <v>204</v>
      </c>
      <c r="B220" s="207">
        <v>23</v>
      </c>
      <c r="C220" s="245" t="s">
        <v>1421</v>
      </c>
      <c r="D220" s="209">
        <v>59470.72187178921</v>
      </c>
      <c r="E220" s="504" t="s">
        <v>91</v>
      </c>
      <c r="F220" s="213">
        <f t="shared" ref="F220:F224" si="169">IF(M220&gt;0,M220,IF(S220&gt;0,S220,IF(Y220&gt;0,Y220,0)))</f>
        <v>56881</v>
      </c>
      <c r="G220" s="207" t="s">
        <v>1076</v>
      </c>
      <c r="H220" s="223">
        <f t="shared" si="158"/>
        <v>2021</v>
      </c>
      <c r="I220" s="248" t="s">
        <v>243</v>
      </c>
      <c r="J220" s="246">
        <v>2665</v>
      </c>
      <c r="K220" s="246">
        <v>0</v>
      </c>
      <c r="L220" s="246">
        <v>56881</v>
      </c>
      <c r="M220" s="213">
        <f t="shared" si="159"/>
        <v>56881</v>
      </c>
      <c r="N220" s="207"/>
      <c r="O220" s="231"/>
      <c r="P220" s="230"/>
      <c r="Q220" s="230"/>
      <c r="R220" s="230"/>
      <c r="S220" s="213">
        <f t="shared" si="160"/>
        <v>0</v>
      </c>
      <c r="T220" s="216"/>
      <c r="U220" s="207"/>
      <c r="V220" s="216"/>
      <c r="W220" s="216"/>
      <c r="X220" s="216"/>
      <c r="Y220" s="213">
        <f t="shared" si="161"/>
        <v>0</v>
      </c>
      <c r="Z220" s="222">
        <v>2020</v>
      </c>
      <c r="AA220" s="228"/>
      <c r="AB220" s="218">
        <v>58815.069139632193</v>
      </c>
      <c r="AC220" s="220"/>
      <c r="AD220" s="220"/>
      <c r="AE220" s="220" t="str">
        <f t="shared" si="162"/>
        <v>V</v>
      </c>
      <c r="AF220" s="229"/>
      <c r="AG220" s="220" t="str">
        <f t="shared" si="163"/>
        <v>1</v>
      </c>
      <c r="AH220" s="220" t="str">
        <f t="shared" si="164"/>
        <v>1</v>
      </c>
      <c r="AI220" s="220"/>
      <c r="AJ220" s="221" t="str">
        <f t="shared" si="165"/>
        <v>2</v>
      </c>
      <c r="AK220" s="220" t="str">
        <f t="shared" si="166"/>
        <v>1.1..2</v>
      </c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</row>
    <row r="221" spans="1:61" ht="16.5" customHeight="1" outlineLevel="2">
      <c r="A221" s="207">
        <f t="shared" si="156"/>
        <v>205</v>
      </c>
      <c r="B221" s="207">
        <v>24</v>
      </c>
      <c r="C221" s="245" t="s">
        <v>1422</v>
      </c>
      <c r="D221" s="209">
        <v>22431.444152461918</v>
      </c>
      <c r="E221" s="504" t="s">
        <v>91</v>
      </c>
      <c r="F221" s="213">
        <f t="shared" si="169"/>
        <v>22211</v>
      </c>
      <c r="G221" s="207" t="s">
        <v>1076</v>
      </c>
      <c r="H221" s="223">
        <f t="shared" si="158"/>
        <v>2020</v>
      </c>
      <c r="I221" s="248" t="s">
        <v>293</v>
      </c>
      <c r="J221" s="246">
        <v>19719</v>
      </c>
      <c r="K221" s="246">
        <v>0</v>
      </c>
      <c r="L221" s="246">
        <v>22211</v>
      </c>
      <c r="M221" s="213">
        <f t="shared" si="159"/>
        <v>22211</v>
      </c>
      <c r="N221" s="207"/>
      <c r="O221" s="231"/>
      <c r="P221" s="230"/>
      <c r="Q221" s="230"/>
      <c r="R221" s="230"/>
      <c r="S221" s="213">
        <f t="shared" si="160"/>
        <v>0</v>
      </c>
      <c r="T221" s="216"/>
      <c r="U221" s="207"/>
      <c r="V221" s="216"/>
      <c r="W221" s="216"/>
      <c r="X221" s="216"/>
      <c r="Y221" s="213">
        <f t="shared" si="161"/>
        <v>0</v>
      </c>
      <c r="Z221" s="222">
        <v>2020</v>
      </c>
      <c r="AA221" s="228"/>
      <c r="AB221" s="218">
        <v>20595.098251166364</v>
      </c>
      <c r="AC221" s="220"/>
      <c r="AD221" s="220"/>
      <c r="AE221" s="220" t="str">
        <f t="shared" si="162"/>
        <v>V</v>
      </c>
      <c r="AF221" s="229"/>
      <c r="AG221" s="220" t="str">
        <f t="shared" si="163"/>
        <v>1</v>
      </c>
      <c r="AH221" s="220" t="str">
        <f t="shared" si="164"/>
        <v>1</v>
      </c>
      <c r="AI221" s="220"/>
      <c r="AJ221" s="221" t="str">
        <f t="shared" si="165"/>
        <v>2</v>
      </c>
      <c r="AK221" s="220" t="str">
        <f t="shared" si="166"/>
        <v>1.1..2</v>
      </c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</row>
    <row r="222" spans="1:61" ht="16.5" customHeight="1" outlineLevel="2">
      <c r="A222" s="207">
        <f t="shared" si="156"/>
        <v>206</v>
      </c>
      <c r="B222" s="207">
        <v>25</v>
      </c>
      <c r="C222" s="245" t="s">
        <v>1423</v>
      </c>
      <c r="D222" s="209">
        <v>35527.564209068856</v>
      </c>
      <c r="E222" s="504" t="s">
        <v>91</v>
      </c>
      <c r="F222" s="213">
        <f t="shared" si="169"/>
        <v>34299</v>
      </c>
      <c r="G222" s="207" t="s">
        <v>1076</v>
      </c>
      <c r="H222" s="223">
        <f t="shared" si="158"/>
        <v>2018</v>
      </c>
      <c r="I222" s="248" t="s">
        <v>151</v>
      </c>
      <c r="J222" s="246">
        <v>30299</v>
      </c>
      <c r="K222" s="246">
        <v>0</v>
      </c>
      <c r="L222" s="246">
        <v>34299</v>
      </c>
      <c r="M222" s="213">
        <f t="shared" si="159"/>
        <v>34299</v>
      </c>
      <c r="N222" s="207"/>
      <c r="O222" s="231"/>
      <c r="P222" s="230"/>
      <c r="Q222" s="230"/>
      <c r="R222" s="230"/>
      <c r="S222" s="213">
        <f t="shared" si="160"/>
        <v>0</v>
      </c>
      <c r="T222" s="216" t="s">
        <v>1076</v>
      </c>
      <c r="U222" s="227" t="s">
        <v>1424</v>
      </c>
      <c r="V222" s="217">
        <v>30299</v>
      </c>
      <c r="W222" s="291">
        <v>4000</v>
      </c>
      <c r="X222" s="216"/>
      <c r="Y222" s="213">
        <f t="shared" si="161"/>
        <v>30299</v>
      </c>
      <c r="Z222" s="222">
        <v>2021</v>
      </c>
      <c r="AA222" s="228"/>
      <c r="AB222" s="218">
        <v>35672.184456435156</v>
      </c>
      <c r="AC222" s="220"/>
      <c r="AD222" s="220"/>
      <c r="AE222" s="220" t="str">
        <f t="shared" si="162"/>
        <v>VV</v>
      </c>
      <c r="AF222" s="229"/>
      <c r="AG222" s="220" t="str">
        <f t="shared" si="163"/>
        <v>2</v>
      </c>
      <c r="AH222" s="220" t="str">
        <f t="shared" si="164"/>
        <v>1</v>
      </c>
      <c r="AI222" s="220"/>
      <c r="AJ222" s="221" t="str">
        <f t="shared" si="165"/>
        <v>1</v>
      </c>
      <c r="AK222" s="220" t="str">
        <f t="shared" si="166"/>
        <v>2.1..1</v>
      </c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</row>
    <row r="223" spans="1:61" ht="16.5" customHeight="1" outlineLevel="2">
      <c r="A223" s="207">
        <f t="shared" si="156"/>
        <v>207</v>
      </c>
      <c r="B223" s="207">
        <v>26</v>
      </c>
      <c r="C223" s="245" t="s">
        <v>1425</v>
      </c>
      <c r="D223" s="209">
        <v>19695.40733450132</v>
      </c>
      <c r="E223" s="504" t="s">
        <v>91</v>
      </c>
      <c r="F223" s="213">
        <f t="shared" si="169"/>
        <v>18584</v>
      </c>
      <c r="G223" s="207" t="s">
        <v>1076</v>
      </c>
      <c r="H223" s="223">
        <f t="shared" si="158"/>
        <v>2020</v>
      </c>
      <c r="I223" s="248" t="s">
        <v>478</v>
      </c>
      <c r="J223" s="246">
        <v>0</v>
      </c>
      <c r="K223" s="246">
        <v>0</v>
      </c>
      <c r="L223" s="246">
        <v>18584</v>
      </c>
      <c r="M223" s="213">
        <f t="shared" si="159"/>
        <v>18584</v>
      </c>
      <c r="N223" s="207"/>
      <c r="O223" s="231"/>
      <c r="P223" s="230"/>
      <c r="Q223" s="230"/>
      <c r="R223" s="230"/>
      <c r="S223" s="213">
        <f t="shared" si="160"/>
        <v>0</v>
      </c>
      <c r="T223" s="216"/>
      <c r="U223" s="207"/>
      <c r="V223" s="216"/>
      <c r="W223" s="216"/>
      <c r="X223" s="216"/>
      <c r="Y223" s="213">
        <f t="shared" si="161"/>
        <v>0</v>
      </c>
      <c r="Z223" s="222">
        <v>2020</v>
      </c>
      <c r="AA223" s="228"/>
      <c r="AB223" s="218">
        <v>18503.177266809787</v>
      </c>
      <c r="AC223" s="220"/>
      <c r="AD223" s="220"/>
      <c r="AE223" s="220" t="str">
        <f t="shared" si="162"/>
        <v>V</v>
      </c>
      <c r="AF223" s="229"/>
      <c r="AG223" s="220" t="str">
        <f t="shared" si="163"/>
        <v>1</v>
      </c>
      <c r="AH223" s="220" t="str">
        <f t="shared" si="164"/>
        <v>1</v>
      </c>
      <c r="AI223" s="220"/>
      <c r="AJ223" s="221" t="str">
        <f t="shared" si="165"/>
        <v>2</v>
      </c>
      <c r="AK223" s="220" t="str">
        <f t="shared" si="166"/>
        <v>1.1..2</v>
      </c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</row>
    <row r="224" spans="1:61" ht="16.5" customHeight="1" outlineLevel="2">
      <c r="A224" s="207">
        <f t="shared" si="156"/>
        <v>208</v>
      </c>
      <c r="B224" s="207">
        <v>27</v>
      </c>
      <c r="C224" s="245" t="s">
        <v>1426</v>
      </c>
      <c r="D224" s="209">
        <v>29796.250619556002</v>
      </c>
      <c r="E224" s="504" t="s">
        <v>91</v>
      </c>
      <c r="F224" s="213">
        <f t="shared" si="169"/>
        <v>27784.04</v>
      </c>
      <c r="G224" s="207" t="s">
        <v>1076</v>
      </c>
      <c r="H224" s="281">
        <f t="shared" si="158"/>
        <v>2021</v>
      </c>
      <c r="I224" s="212" t="s">
        <v>470</v>
      </c>
      <c r="J224" s="213">
        <v>0</v>
      </c>
      <c r="K224" s="213">
        <v>0</v>
      </c>
      <c r="L224" s="213">
        <v>0</v>
      </c>
      <c r="M224" s="213">
        <f t="shared" si="159"/>
        <v>0</v>
      </c>
      <c r="N224" s="207"/>
      <c r="O224" s="253"/>
      <c r="P224" s="230"/>
      <c r="Q224" s="230"/>
      <c r="R224" s="230"/>
      <c r="S224" s="213">
        <f t="shared" si="160"/>
        <v>0</v>
      </c>
      <c r="T224" s="216" t="s">
        <v>1076</v>
      </c>
      <c r="U224" s="221" t="s">
        <v>1427</v>
      </c>
      <c r="V224" s="216">
        <v>27784.04</v>
      </c>
      <c r="W224" s="216"/>
      <c r="X224" s="216"/>
      <c r="Y224" s="213">
        <f t="shared" si="161"/>
        <v>27784.04</v>
      </c>
      <c r="Z224" s="222" t="s">
        <v>1265</v>
      </c>
      <c r="AA224" s="228"/>
      <c r="AB224" s="218">
        <v>29228.263485204843</v>
      </c>
      <c r="AC224" s="220"/>
      <c r="AD224" s="220"/>
      <c r="AE224" s="220" t="str">
        <f t="shared" si="162"/>
        <v>VV</v>
      </c>
      <c r="AF224" s="229"/>
      <c r="AG224" s="220" t="str">
        <f t="shared" si="163"/>
        <v>1</v>
      </c>
      <c r="AH224" s="220" t="str">
        <f t="shared" si="164"/>
        <v>2</v>
      </c>
      <c r="AI224" s="220"/>
      <c r="AJ224" s="221" t="str">
        <f t="shared" si="165"/>
        <v>1</v>
      </c>
      <c r="AK224" s="220" t="str">
        <f t="shared" si="166"/>
        <v>1.2..1</v>
      </c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spans="1:61" ht="16.5" customHeight="1" outlineLevel="2">
      <c r="A225" s="207">
        <f t="shared" si="156"/>
        <v>209</v>
      </c>
      <c r="B225" s="207">
        <v>28</v>
      </c>
      <c r="C225" s="245" t="s">
        <v>1428</v>
      </c>
      <c r="D225" s="209">
        <v>38016.624463232241</v>
      </c>
      <c r="E225" s="504" t="s">
        <v>91</v>
      </c>
      <c r="F225" s="213">
        <f t="shared" ref="F225:F226" si="170">Y225</f>
        <v>32825.699999999997</v>
      </c>
      <c r="G225" s="207"/>
      <c r="H225" s="281">
        <f t="shared" si="158"/>
        <v>2011</v>
      </c>
      <c r="I225" s="212" t="s">
        <v>795</v>
      </c>
      <c r="J225" s="213">
        <v>37339</v>
      </c>
      <c r="K225" s="213">
        <v>0</v>
      </c>
      <c r="L225" s="213">
        <v>37339</v>
      </c>
      <c r="M225" s="213">
        <f t="shared" si="159"/>
        <v>37339</v>
      </c>
      <c r="N225" s="207"/>
      <c r="O225" s="253"/>
      <c r="P225" s="230"/>
      <c r="Q225" s="230"/>
      <c r="R225" s="230"/>
      <c r="S225" s="213">
        <f t="shared" si="160"/>
        <v>0</v>
      </c>
      <c r="T225" s="216" t="s">
        <v>1076</v>
      </c>
      <c r="U225" s="221" t="s">
        <v>1429</v>
      </c>
      <c r="V225" s="216">
        <v>32825.699999999997</v>
      </c>
      <c r="W225" s="216"/>
      <c r="X225" s="216"/>
      <c r="Y225" s="213">
        <f t="shared" si="161"/>
        <v>32825.699999999997</v>
      </c>
      <c r="Z225" s="222">
        <v>2021</v>
      </c>
      <c r="AA225" s="228"/>
      <c r="AB225" s="218">
        <v>37644.952490606353</v>
      </c>
      <c r="AC225" s="220"/>
      <c r="AD225" s="220"/>
      <c r="AE225" s="220" t="str">
        <f t="shared" si="162"/>
        <v>V</v>
      </c>
      <c r="AF225" s="229"/>
      <c r="AG225" s="220" t="str">
        <f t="shared" si="163"/>
        <v>2</v>
      </c>
      <c r="AH225" s="220" t="str">
        <f t="shared" si="164"/>
        <v>1</v>
      </c>
      <c r="AI225" s="220"/>
      <c r="AJ225" s="221" t="str">
        <f t="shared" si="165"/>
        <v>1</v>
      </c>
      <c r="AK225" s="220" t="str">
        <f t="shared" si="166"/>
        <v>2.1..1</v>
      </c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1" ht="16.5" customHeight="1" outlineLevel="2">
      <c r="A226" s="207">
        <f t="shared" si="156"/>
        <v>210</v>
      </c>
      <c r="B226" s="207">
        <v>29</v>
      </c>
      <c r="C226" s="245" t="s">
        <v>1430</v>
      </c>
      <c r="D226" s="209">
        <v>22033.987595084003</v>
      </c>
      <c r="E226" s="504" t="s">
        <v>91</v>
      </c>
      <c r="F226" s="213">
        <f t="shared" si="170"/>
        <v>17869.990000000002</v>
      </c>
      <c r="G226" s="207"/>
      <c r="H226" s="281">
        <f t="shared" si="158"/>
        <v>2011</v>
      </c>
      <c r="I226" s="212" t="s">
        <v>1431</v>
      </c>
      <c r="J226" s="213">
        <v>22896</v>
      </c>
      <c r="K226" s="213">
        <v>0</v>
      </c>
      <c r="L226" s="213">
        <v>22896</v>
      </c>
      <c r="M226" s="213">
        <f t="shared" si="159"/>
        <v>22896</v>
      </c>
      <c r="N226" s="207"/>
      <c r="O226" s="253"/>
      <c r="P226" s="230"/>
      <c r="Q226" s="230"/>
      <c r="R226" s="230"/>
      <c r="S226" s="213">
        <f t="shared" si="160"/>
        <v>0</v>
      </c>
      <c r="T226" s="216" t="s">
        <v>1076</v>
      </c>
      <c r="U226" s="221" t="s">
        <v>483</v>
      </c>
      <c r="V226" s="216">
        <v>17869.990000000002</v>
      </c>
      <c r="W226" s="216"/>
      <c r="X226" s="216"/>
      <c r="Y226" s="213">
        <f t="shared" si="161"/>
        <v>17869.990000000002</v>
      </c>
      <c r="Z226" s="222">
        <v>2021</v>
      </c>
      <c r="AA226" s="228"/>
      <c r="AB226" s="218">
        <v>20671.565141732834</v>
      </c>
      <c r="AC226" s="220"/>
      <c r="AD226" s="220"/>
      <c r="AE226" s="220" t="str">
        <f t="shared" si="162"/>
        <v>V</v>
      </c>
      <c r="AF226" s="229"/>
      <c r="AG226" s="220" t="str">
        <f t="shared" si="163"/>
        <v>2</v>
      </c>
      <c r="AH226" s="220" t="str">
        <f t="shared" si="164"/>
        <v>1</v>
      </c>
      <c r="AI226" s="220"/>
      <c r="AJ226" s="221" t="str">
        <f t="shared" si="165"/>
        <v>1</v>
      </c>
      <c r="AK226" s="220" t="str">
        <f t="shared" si="166"/>
        <v>2.1..1</v>
      </c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1" ht="16.5" customHeight="1" outlineLevel="2">
      <c r="A227" s="207">
        <f t="shared" si="156"/>
        <v>211</v>
      </c>
      <c r="B227" s="207">
        <v>30</v>
      </c>
      <c r="C227" s="245" t="s">
        <v>1432</v>
      </c>
      <c r="D227" s="209">
        <v>45222.027009312609</v>
      </c>
      <c r="E227" s="504" t="s">
        <v>91</v>
      </c>
      <c r="F227" s="213">
        <f t="shared" ref="F227:F228" si="171">IF(M227&gt;0,M227,IF(S227&gt;0,S227,IF(Y227&gt;0,Y227,0)))</f>
        <v>42286</v>
      </c>
      <c r="G227" s="207" t="s">
        <v>1076</v>
      </c>
      <c r="H227" s="223">
        <f t="shared" si="158"/>
        <v>2020</v>
      </c>
      <c r="I227" s="248" t="s">
        <v>262</v>
      </c>
      <c r="J227" s="246">
        <v>42286</v>
      </c>
      <c r="K227" s="246">
        <v>0</v>
      </c>
      <c r="L227" s="246">
        <v>42286</v>
      </c>
      <c r="M227" s="213">
        <f t="shared" si="159"/>
        <v>42286</v>
      </c>
      <c r="N227" s="207"/>
      <c r="O227" s="231"/>
      <c r="P227" s="230"/>
      <c r="Q227" s="230"/>
      <c r="R227" s="230"/>
      <c r="S227" s="213">
        <f t="shared" si="160"/>
        <v>0</v>
      </c>
      <c r="T227" s="216"/>
      <c r="U227" s="207"/>
      <c r="V227" s="216"/>
      <c r="W227" s="216"/>
      <c r="X227" s="216"/>
      <c r="Y227" s="213">
        <f t="shared" si="161"/>
        <v>0</v>
      </c>
      <c r="Z227" s="222">
        <v>2020</v>
      </c>
      <c r="AA227" s="228"/>
      <c r="AB227" s="218">
        <v>43799.608674470299</v>
      </c>
      <c r="AC227" s="220"/>
      <c r="AD227" s="220"/>
      <c r="AE227" s="220" t="str">
        <f t="shared" si="162"/>
        <v>V</v>
      </c>
      <c r="AF227" s="229"/>
      <c r="AG227" s="220" t="str">
        <f t="shared" si="163"/>
        <v>1</v>
      </c>
      <c r="AH227" s="220" t="str">
        <f t="shared" si="164"/>
        <v>1</v>
      </c>
      <c r="AI227" s="220"/>
      <c r="AJ227" s="221" t="str">
        <f t="shared" si="165"/>
        <v>2</v>
      </c>
      <c r="AK227" s="220" t="str">
        <f t="shared" si="166"/>
        <v>1.1..2</v>
      </c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spans="1:61" ht="16.5" customHeight="1" outlineLevel="2">
      <c r="A228" s="207">
        <f t="shared" si="156"/>
        <v>212</v>
      </c>
      <c r="B228" s="207">
        <v>31</v>
      </c>
      <c r="C228" s="245" t="s">
        <v>1433</v>
      </c>
      <c r="D228" s="209">
        <v>21824.760996559868</v>
      </c>
      <c r="E228" s="504" t="s">
        <v>91</v>
      </c>
      <c r="F228" s="213">
        <f t="shared" si="171"/>
        <v>23742</v>
      </c>
      <c r="G228" s="207" t="s">
        <v>1076</v>
      </c>
      <c r="H228" s="223">
        <f t="shared" si="158"/>
        <v>2018</v>
      </c>
      <c r="I228" s="248" t="s">
        <v>151</v>
      </c>
      <c r="J228" s="246">
        <v>23742</v>
      </c>
      <c r="K228" s="246">
        <v>0</v>
      </c>
      <c r="L228" s="246">
        <v>23742</v>
      </c>
      <c r="M228" s="213">
        <f t="shared" si="159"/>
        <v>23742</v>
      </c>
      <c r="N228" s="207"/>
      <c r="O228" s="231"/>
      <c r="P228" s="230"/>
      <c r="Q228" s="230"/>
      <c r="R228" s="230"/>
      <c r="S228" s="213">
        <f t="shared" si="160"/>
        <v>0</v>
      </c>
      <c r="T228" s="216"/>
      <c r="U228" s="207"/>
      <c r="V228" s="216"/>
      <c r="W228" s="216"/>
      <c r="X228" s="216"/>
      <c r="Y228" s="213">
        <f t="shared" si="161"/>
        <v>0</v>
      </c>
      <c r="Z228" s="222">
        <v>2020</v>
      </c>
      <c r="AA228" s="228"/>
      <c r="AB228" s="218">
        <v>20016.157178597343</v>
      </c>
      <c r="AC228" s="220"/>
      <c r="AD228" s="220"/>
      <c r="AE228" s="220" t="str">
        <f t="shared" si="162"/>
        <v>V</v>
      </c>
      <c r="AF228" s="229"/>
      <c r="AG228" s="220" t="str">
        <f t="shared" si="163"/>
        <v>2</v>
      </c>
      <c r="AH228" s="220" t="str">
        <f t="shared" si="164"/>
        <v>1</v>
      </c>
      <c r="AI228" s="220"/>
      <c r="AJ228" s="221" t="str">
        <f t="shared" si="165"/>
        <v>2</v>
      </c>
      <c r="AK228" s="220" t="str">
        <f t="shared" si="166"/>
        <v>2.1..2</v>
      </c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1" ht="16.5" customHeight="1" outlineLevel="2">
      <c r="A229" s="207">
        <f t="shared" si="156"/>
        <v>213</v>
      </c>
      <c r="B229" s="207">
        <v>32</v>
      </c>
      <c r="C229" s="245" t="s">
        <v>1434</v>
      </c>
      <c r="D229" s="209">
        <v>38965.168565923668</v>
      </c>
      <c r="E229" s="504" t="s">
        <v>91</v>
      </c>
      <c r="F229" s="213">
        <f>Y229</f>
        <v>41573</v>
      </c>
      <c r="G229" s="207"/>
      <c r="H229" s="281">
        <f t="shared" si="158"/>
        <v>2012</v>
      </c>
      <c r="I229" s="212" t="s">
        <v>198</v>
      </c>
      <c r="J229" s="213">
        <v>41296</v>
      </c>
      <c r="K229" s="213">
        <v>0</v>
      </c>
      <c r="L229" s="213">
        <v>41296</v>
      </c>
      <c r="M229" s="213">
        <f t="shared" si="159"/>
        <v>41296</v>
      </c>
      <c r="N229" s="207"/>
      <c r="O229" s="253" t="s">
        <v>1435</v>
      </c>
      <c r="P229" s="230">
        <v>0</v>
      </c>
      <c r="Q229" s="230">
        <v>0</v>
      </c>
      <c r="R229" s="230">
        <v>0</v>
      </c>
      <c r="S229" s="213">
        <f t="shared" si="160"/>
        <v>0</v>
      </c>
      <c r="T229" s="216" t="s">
        <v>1076</v>
      </c>
      <c r="U229" s="221" t="s">
        <v>487</v>
      </c>
      <c r="V229" s="228">
        <v>36088</v>
      </c>
      <c r="W229" s="293">
        <v>5485</v>
      </c>
      <c r="X229" s="293">
        <v>41573</v>
      </c>
      <c r="Y229" s="294">
        <v>41573</v>
      </c>
      <c r="Z229" s="222">
        <v>2021</v>
      </c>
      <c r="AA229" s="228"/>
      <c r="AB229" s="218">
        <v>38625.939502504945</v>
      </c>
      <c r="AC229" s="220"/>
      <c r="AD229" s="220"/>
      <c r="AE229" s="220" t="str">
        <f t="shared" si="162"/>
        <v>V</v>
      </c>
      <c r="AF229" s="229"/>
      <c r="AG229" s="220" t="str">
        <f t="shared" si="163"/>
        <v>2</v>
      </c>
      <c r="AH229" s="220" t="str">
        <f t="shared" si="164"/>
        <v>1</v>
      </c>
      <c r="AI229" s="220"/>
      <c r="AJ229" s="221" t="str">
        <f t="shared" si="165"/>
        <v>1</v>
      </c>
      <c r="AK229" s="220" t="str">
        <f t="shared" si="166"/>
        <v>2.1..1</v>
      </c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1" ht="16.5" customHeight="1" outlineLevel="2">
      <c r="A230" s="207">
        <f t="shared" si="156"/>
        <v>214</v>
      </c>
      <c r="B230" s="207">
        <v>33</v>
      </c>
      <c r="C230" s="245" t="s">
        <v>1436</v>
      </c>
      <c r="D230" s="209">
        <v>17641.686535735011</v>
      </c>
      <c r="E230" s="504" t="s">
        <v>91</v>
      </c>
      <c r="F230" s="213">
        <f>S230</f>
        <v>20709</v>
      </c>
      <c r="G230" s="207"/>
      <c r="H230" s="281">
        <f t="shared" si="158"/>
        <v>2012</v>
      </c>
      <c r="I230" s="212" t="s">
        <v>315</v>
      </c>
      <c r="J230" s="213">
        <v>19171</v>
      </c>
      <c r="K230" s="213">
        <v>0</v>
      </c>
      <c r="L230" s="213">
        <v>19171</v>
      </c>
      <c r="M230" s="213">
        <f t="shared" si="159"/>
        <v>19171</v>
      </c>
      <c r="N230" s="207" t="s">
        <v>1076</v>
      </c>
      <c r="O230" s="253" t="s">
        <v>1437</v>
      </c>
      <c r="P230" s="230">
        <v>20709</v>
      </c>
      <c r="Q230" s="230">
        <v>0</v>
      </c>
      <c r="R230" s="230">
        <v>20709</v>
      </c>
      <c r="S230" s="213">
        <f t="shared" si="160"/>
        <v>20709</v>
      </c>
      <c r="T230" s="216"/>
      <c r="U230" s="221"/>
      <c r="V230" s="216"/>
      <c r="W230" s="216"/>
      <c r="X230" s="216"/>
      <c r="Y230" s="213">
        <f t="shared" ref="Y230:Y232" si="172">IF(X230&gt;0,X230,IF(V230&gt;0,V230,0))</f>
        <v>0</v>
      </c>
      <c r="Z230" s="222">
        <v>2020</v>
      </c>
      <c r="AA230" s="228"/>
      <c r="AB230" s="218">
        <v>17248.680298906671</v>
      </c>
      <c r="AC230" s="220"/>
      <c r="AD230" s="220"/>
      <c r="AE230" s="220" t="str">
        <f t="shared" si="162"/>
        <v>V</v>
      </c>
      <c r="AF230" s="229"/>
      <c r="AG230" s="220" t="str">
        <f t="shared" si="163"/>
        <v>2</v>
      </c>
      <c r="AH230" s="220" t="str">
        <f t="shared" si="164"/>
        <v>1</v>
      </c>
      <c r="AI230" s="220"/>
      <c r="AJ230" s="221" t="str">
        <f t="shared" si="165"/>
        <v>1</v>
      </c>
      <c r="AK230" s="220" t="str">
        <f t="shared" si="166"/>
        <v>2.1..1</v>
      </c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spans="1:61" ht="16.5" customHeight="1" outlineLevel="2">
      <c r="A231" s="207">
        <f t="shared" si="156"/>
        <v>215</v>
      </c>
      <c r="B231" s="207">
        <v>34</v>
      </c>
      <c r="C231" s="245" t="s">
        <v>1438</v>
      </c>
      <c r="D231" s="209">
        <v>44069.931506076828</v>
      </c>
      <c r="E231" s="504" t="s">
        <v>91</v>
      </c>
      <c r="F231" s="213">
        <f>IF(M231&gt;0,M231,IF(S231&gt;0,S231,IF(Y231&gt;0,Y231,0)))</f>
        <v>42076</v>
      </c>
      <c r="G231" s="207" t="s">
        <v>1076</v>
      </c>
      <c r="H231" s="223">
        <f t="shared" si="158"/>
        <v>2020</v>
      </c>
      <c r="I231" s="248" t="s">
        <v>389</v>
      </c>
      <c r="J231" s="246">
        <v>27423</v>
      </c>
      <c r="K231" s="246">
        <v>0</v>
      </c>
      <c r="L231" s="246">
        <v>42076</v>
      </c>
      <c r="M231" s="213">
        <f t="shared" si="159"/>
        <v>42076</v>
      </c>
      <c r="N231" s="207"/>
      <c r="O231" s="231"/>
      <c r="P231" s="230"/>
      <c r="Q231" s="230"/>
      <c r="R231" s="230"/>
      <c r="S231" s="213">
        <f t="shared" si="160"/>
        <v>0</v>
      </c>
      <c r="T231" s="216"/>
      <c r="U231" s="207"/>
      <c r="V231" s="216"/>
      <c r="W231" s="216"/>
      <c r="X231" s="216"/>
      <c r="Y231" s="213">
        <f t="shared" si="172"/>
        <v>0</v>
      </c>
      <c r="Z231" s="222">
        <v>2020</v>
      </c>
      <c r="AA231" s="228"/>
      <c r="AB231" s="218">
        <v>42443.657103890553</v>
      </c>
      <c r="AC231" s="220"/>
      <c r="AD231" s="220"/>
      <c r="AE231" s="220" t="str">
        <f t="shared" si="162"/>
        <v>V</v>
      </c>
      <c r="AF231" s="229"/>
      <c r="AG231" s="220" t="str">
        <f t="shared" si="163"/>
        <v>1</v>
      </c>
      <c r="AH231" s="220" t="str">
        <f t="shared" si="164"/>
        <v>1</v>
      </c>
      <c r="AI231" s="220"/>
      <c r="AJ231" s="221" t="str">
        <f t="shared" si="165"/>
        <v>2</v>
      </c>
      <c r="AK231" s="220" t="str">
        <f t="shared" si="166"/>
        <v>1.1..2</v>
      </c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</row>
    <row r="232" spans="1:61" ht="16.5" customHeight="1" outlineLevel="2">
      <c r="A232" s="207">
        <f t="shared" si="156"/>
        <v>216</v>
      </c>
      <c r="B232" s="207">
        <v>35</v>
      </c>
      <c r="C232" s="245" t="s">
        <v>1439</v>
      </c>
      <c r="D232" s="209">
        <v>12043.539308507001</v>
      </c>
      <c r="E232" s="504" t="s">
        <v>91</v>
      </c>
      <c r="F232" s="213">
        <f>Y232</f>
        <v>10168.57</v>
      </c>
      <c r="G232" s="207"/>
      <c r="H232" s="281">
        <f t="shared" si="158"/>
        <v>2011</v>
      </c>
      <c r="I232" s="212" t="s">
        <v>932</v>
      </c>
      <c r="J232" s="213">
        <v>16358</v>
      </c>
      <c r="K232" s="213">
        <v>0</v>
      </c>
      <c r="L232" s="213">
        <v>16358</v>
      </c>
      <c r="M232" s="213">
        <f t="shared" si="159"/>
        <v>16358</v>
      </c>
      <c r="N232" s="207"/>
      <c r="O232" s="253"/>
      <c r="P232" s="230"/>
      <c r="Q232" s="230"/>
      <c r="R232" s="230"/>
      <c r="S232" s="213">
        <f t="shared" si="160"/>
        <v>0</v>
      </c>
      <c r="T232" s="216" t="s">
        <v>1076</v>
      </c>
      <c r="U232" s="221" t="s">
        <v>492</v>
      </c>
      <c r="V232" s="216">
        <v>10168.57</v>
      </c>
      <c r="W232" s="216"/>
      <c r="X232" s="216"/>
      <c r="Y232" s="213">
        <f t="shared" si="172"/>
        <v>10168.57</v>
      </c>
      <c r="Z232" s="222">
        <v>2021</v>
      </c>
      <c r="AA232" s="228"/>
      <c r="AB232" s="218">
        <v>11917.368237842149</v>
      </c>
      <c r="AC232" s="220"/>
      <c r="AD232" s="220"/>
      <c r="AE232" s="220" t="str">
        <f t="shared" si="162"/>
        <v>V</v>
      </c>
      <c r="AF232" s="229"/>
      <c r="AG232" s="220" t="str">
        <f t="shared" si="163"/>
        <v>2</v>
      </c>
      <c r="AH232" s="220" t="str">
        <f t="shared" si="164"/>
        <v>1</v>
      </c>
      <c r="AI232" s="220"/>
      <c r="AJ232" s="221" t="str">
        <f t="shared" si="165"/>
        <v>1</v>
      </c>
      <c r="AK232" s="220" t="str">
        <f t="shared" si="166"/>
        <v>2.1..1</v>
      </c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spans="1:61" ht="16.5" customHeight="1" outlineLevel="1">
      <c r="A233" s="207"/>
      <c r="B233" s="201"/>
      <c r="C233" s="249" t="s">
        <v>1440</v>
      </c>
      <c r="D233" s="250"/>
      <c r="E233" s="238">
        <f>COUNTIF(E198:E232,"D") + COUNTIF(E198:E232,"DS")</f>
        <v>35</v>
      </c>
      <c r="F233" s="254">
        <f>SUBTOTAL(9,F198:F232)</f>
        <v>971448.39999999991</v>
      </c>
      <c r="G233" s="201"/>
      <c r="H233" s="240"/>
      <c r="I233" s="264"/>
      <c r="J233" s="254">
        <f t="shared" ref="J233:S233" si="173">SUBTOTAL(9,J198:J232)</f>
        <v>710722</v>
      </c>
      <c r="K233" s="254">
        <f t="shared" si="173"/>
        <v>0</v>
      </c>
      <c r="L233" s="254">
        <f t="shared" si="173"/>
        <v>985830</v>
      </c>
      <c r="M233" s="254">
        <f t="shared" si="173"/>
        <v>985830</v>
      </c>
      <c r="N233" s="254">
        <f t="shared" si="173"/>
        <v>0</v>
      </c>
      <c r="O233" s="254">
        <f t="shared" si="173"/>
        <v>0</v>
      </c>
      <c r="P233" s="254">
        <f t="shared" si="173"/>
        <v>131824.36499999999</v>
      </c>
      <c r="Q233" s="254">
        <f t="shared" si="173"/>
        <v>2284</v>
      </c>
      <c r="R233" s="254">
        <f t="shared" si="173"/>
        <v>62209.990000000005</v>
      </c>
      <c r="S233" s="254">
        <f t="shared" si="173"/>
        <v>134158.36499999999</v>
      </c>
      <c r="T233" s="242">
        <v>12</v>
      </c>
      <c r="U233" s="242">
        <v>12</v>
      </c>
      <c r="V233" s="242">
        <f t="shared" ref="V233:Y233" si="174">SUBTOTAL(9,V198:V232)</f>
        <v>358922.39</v>
      </c>
      <c r="W233" s="242">
        <f t="shared" si="174"/>
        <v>28608.010000000002</v>
      </c>
      <c r="X233" s="242">
        <f t="shared" si="174"/>
        <v>123871.38</v>
      </c>
      <c r="Y233" s="254">
        <f t="shared" si="174"/>
        <v>376638.4</v>
      </c>
      <c r="Z233" s="243" t="s">
        <v>1138</v>
      </c>
      <c r="AA233" s="228"/>
      <c r="AB233" s="218">
        <f>SUM(AB198:AB232)</f>
        <v>1018107.1837832081</v>
      </c>
      <c r="AC233" s="220"/>
      <c r="AD233" s="220"/>
      <c r="AE233" s="244">
        <f>COUNTIF(AE198:AE232,"V") + COUNTIF(AE198:AE232,"VV") + COUNTIF(AE198:AE232,"VVV")</f>
        <v>32</v>
      </c>
      <c r="AF233" s="229"/>
      <c r="AG233" s="220"/>
      <c r="AH233" s="220"/>
      <c r="AI233" s="220"/>
      <c r="AJ233" s="221"/>
      <c r="AK233" s="220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spans="1:61" ht="16.5" customHeight="1" outlineLevel="2">
      <c r="A234" s="207">
        <f t="shared" ref="A234:A238" si="175">SUBTOTAL(3,$B$6:B234)</f>
        <v>217</v>
      </c>
      <c r="B234" s="207">
        <v>1</v>
      </c>
      <c r="C234" s="245" t="s">
        <v>1441</v>
      </c>
      <c r="D234" s="209">
        <v>14945.185157916847</v>
      </c>
      <c r="E234" s="504" t="s">
        <v>91</v>
      </c>
      <c r="F234" s="213">
        <f t="shared" ref="F234:F238" si="176">IF(M234&gt;0,M234,IF(S234&gt;0,S234,IF(Y234&gt;0,Y234,0)))</f>
        <v>19075.010000000002</v>
      </c>
      <c r="G234" s="207"/>
      <c r="H234" s="281" t="e">
        <f t="shared" ref="H234:H238" si="177">VALUE(RIGHT(I234,4))</f>
        <v>#VALUE!</v>
      </c>
      <c r="I234" s="212"/>
      <c r="J234" s="213"/>
      <c r="K234" s="213"/>
      <c r="L234" s="213"/>
      <c r="M234" s="213">
        <f t="shared" ref="M234:M238" si="178">IF(L234&gt;0,L234,IF(J234&gt;0,J234,0))</f>
        <v>0</v>
      </c>
      <c r="N234" s="207"/>
      <c r="O234" s="231"/>
      <c r="P234" s="230"/>
      <c r="Q234" s="230"/>
      <c r="R234" s="230"/>
      <c r="S234" s="213">
        <f t="shared" ref="S234:S238" si="179">IF(R234&gt;0,R234,IF(P234&gt;0,P234,0))</f>
        <v>0</v>
      </c>
      <c r="T234" s="216" t="s">
        <v>1076</v>
      </c>
      <c r="U234" s="227" t="s">
        <v>502</v>
      </c>
      <c r="V234" s="216">
        <v>14407.5</v>
      </c>
      <c r="W234" s="216">
        <v>4667.51</v>
      </c>
      <c r="X234" s="216">
        <v>19075.010000000002</v>
      </c>
      <c r="Y234" s="213">
        <f t="shared" ref="Y234:Y238" si="180">IF(X234&gt;0,X234,IF(V234&gt;0,V234,0))</f>
        <v>19075.010000000002</v>
      </c>
      <c r="Z234" s="222">
        <v>2021</v>
      </c>
      <c r="AA234" s="228"/>
      <c r="AB234" s="218">
        <v>14457.720629764706</v>
      </c>
      <c r="AC234" s="220"/>
      <c r="AD234" s="220" t="s">
        <v>1442</v>
      </c>
      <c r="AE234" s="220" t="str">
        <f t="shared" ref="AE234:AE238" si="181">CONCATENATE(G234,N234,T234)</f>
        <v>V</v>
      </c>
      <c r="AF234" s="229"/>
      <c r="AG234" s="220" t="e">
        <f t="shared" ref="AG234:AG238" si="182">IF(H234=0,"3",IF(H234&lt;=2018,"2","1"))</f>
        <v>#VALUE!</v>
      </c>
      <c r="AH234" s="220" t="str">
        <f t="shared" ref="AH234:AH238" si="183">IF(M234&gt;0,"1","2")</f>
        <v>2</v>
      </c>
      <c r="AI234" s="220"/>
      <c r="AJ234" s="221" t="str">
        <f t="shared" ref="AJ234:AJ238" si="184">IF(S234&gt;0,"1",IF(Y234&gt;0,"1","2"))</f>
        <v>1</v>
      </c>
      <c r="AK234" s="220" t="e">
        <f t="shared" ref="AK234:AK238" si="185">CONCATENATE(AG234,".",AH234,".",AI234,".",AJ234)</f>
        <v>#VALUE!</v>
      </c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spans="1:61" ht="16.5" customHeight="1" outlineLevel="2">
      <c r="A235" s="207">
        <f t="shared" si="175"/>
        <v>218</v>
      </c>
      <c r="B235" s="207">
        <v>2</v>
      </c>
      <c r="C235" s="245" t="s">
        <v>1443</v>
      </c>
      <c r="D235" s="209">
        <v>31973.492196526193</v>
      </c>
      <c r="E235" s="504" t="s">
        <v>91</v>
      </c>
      <c r="F235" s="213">
        <f t="shared" si="176"/>
        <v>5500</v>
      </c>
      <c r="G235" s="207"/>
      <c r="H235" s="281">
        <f t="shared" si="177"/>
        <v>2011</v>
      </c>
      <c r="I235" s="212" t="s">
        <v>1431</v>
      </c>
      <c r="J235" s="213">
        <v>5500</v>
      </c>
      <c r="K235" s="213">
        <v>0</v>
      </c>
      <c r="L235" s="213">
        <v>5500</v>
      </c>
      <c r="M235" s="213">
        <f t="shared" si="178"/>
        <v>5500</v>
      </c>
      <c r="N235" s="207" t="s">
        <v>1076</v>
      </c>
      <c r="O235" s="253" t="s">
        <v>1444</v>
      </c>
      <c r="P235" s="230">
        <v>5500</v>
      </c>
      <c r="Q235" s="230">
        <v>0</v>
      </c>
      <c r="R235" s="230">
        <v>5500</v>
      </c>
      <c r="S235" s="213">
        <f t="shared" si="179"/>
        <v>5500</v>
      </c>
      <c r="T235" s="216" t="s">
        <v>1076</v>
      </c>
      <c r="U235" s="517" t="s">
        <v>504</v>
      </c>
      <c r="V235" s="216">
        <v>21576.240000000002</v>
      </c>
      <c r="W235" s="216">
        <v>657.92</v>
      </c>
      <c r="X235" s="216"/>
      <c r="Y235" s="213">
        <f t="shared" si="180"/>
        <v>21576.240000000002</v>
      </c>
      <c r="Z235" s="222">
        <v>2021</v>
      </c>
      <c r="AA235" s="228"/>
      <c r="AB235" s="218">
        <v>31560.283958874807</v>
      </c>
      <c r="AC235" s="220"/>
      <c r="AD235" s="220"/>
      <c r="AE235" s="220" t="str">
        <f t="shared" si="181"/>
        <v>VV</v>
      </c>
      <c r="AF235" s="229"/>
      <c r="AG235" s="220" t="str">
        <f t="shared" si="182"/>
        <v>2</v>
      </c>
      <c r="AH235" s="220" t="str">
        <f t="shared" si="183"/>
        <v>1</v>
      </c>
      <c r="AI235" s="220"/>
      <c r="AJ235" s="221" t="str">
        <f t="shared" si="184"/>
        <v>1</v>
      </c>
      <c r="AK235" s="220" t="str">
        <f t="shared" si="185"/>
        <v>2.1..1</v>
      </c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 ht="16.5" customHeight="1" outlineLevel="2">
      <c r="A236" s="207">
        <f t="shared" si="175"/>
        <v>219</v>
      </c>
      <c r="B236" s="207">
        <v>3</v>
      </c>
      <c r="C236" s="245" t="s">
        <v>1445</v>
      </c>
      <c r="D236" s="209">
        <v>51.301788382437621</v>
      </c>
      <c r="E236" s="504" t="s">
        <v>661</v>
      </c>
      <c r="F236" s="213">
        <f t="shared" si="176"/>
        <v>0</v>
      </c>
      <c r="G236" s="207"/>
      <c r="H236" s="281" t="e">
        <f t="shared" si="177"/>
        <v>#VALUE!</v>
      </c>
      <c r="I236" s="212"/>
      <c r="J236" s="213"/>
      <c r="K236" s="213"/>
      <c r="L236" s="213"/>
      <c r="M236" s="213">
        <f t="shared" si="178"/>
        <v>0</v>
      </c>
      <c r="N236" s="207"/>
      <c r="O236" s="253"/>
      <c r="P236" s="230"/>
      <c r="Q236" s="230"/>
      <c r="R236" s="230"/>
      <c r="S236" s="213">
        <f t="shared" si="179"/>
        <v>0</v>
      </c>
      <c r="T236" s="216"/>
      <c r="U236" s="221"/>
      <c r="V236" s="216"/>
      <c r="W236" s="216"/>
      <c r="X236" s="216"/>
      <c r="Y236" s="213">
        <f t="shared" si="180"/>
        <v>0</v>
      </c>
      <c r="Z236" s="222" t="s">
        <v>1097</v>
      </c>
      <c r="AA236" s="228"/>
      <c r="AB236" s="218">
        <v>44.599470049822727</v>
      </c>
      <c r="AC236" s="220"/>
      <c r="AD236" s="220"/>
      <c r="AE236" s="220" t="str">
        <f t="shared" si="181"/>
        <v/>
      </c>
      <c r="AF236" s="229"/>
      <c r="AG236" s="220" t="e">
        <f t="shared" si="182"/>
        <v>#VALUE!</v>
      </c>
      <c r="AH236" s="220" t="str">
        <f t="shared" si="183"/>
        <v>2</v>
      </c>
      <c r="AI236" s="220"/>
      <c r="AJ236" s="221" t="str">
        <f t="shared" si="184"/>
        <v>2</v>
      </c>
      <c r="AK236" s="220" t="e">
        <f t="shared" si="185"/>
        <v>#VALUE!</v>
      </c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spans="1:61" ht="16.5" customHeight="1" outlineLevel="2">
      <c r="A237" s="207">
        <f t="shared" si="175"/>
        <v>220</v>
      </c>
      <c r="B237" s="207">
        <v>4</v>
      </c>
      <c r="C237" s="245" t="s">
        <v>1446</v>
      </c>
      <c r="D237" s="209">
        <v>11008.169029435829</v>
      </c>
      <c r="E237" s="504" t="s">
        <v>91</v>
      </c>
      <c r="F237" s="213">
        <f t="shared" si="176"/>
        <v>11033.98</v>
      </c>
      <c r="G237" s="207"/>
      <c r="H237" s="281" t="e">
        <f t="shared" si="177"/>
        <v>#VALUE!</v>
      </c>
      <c r="I237" s="212"/>
      <c r="J237" s="213"/>
      <c r="K237" s="213"/>
      <c r="L237" s="213"/>
      <c r="M237" s="213">
        <f t="shared" si="178"/>
        <v>0</v>
      </c>
      <c r="N237" s="207"/>
      <c r="O237" s="231"/>
      <c r="P237" s="230"/>
      <c r="Q237" s="230"/>
      <c r="R237" s="230"/>
      <c r="S237" s="213">
        <f t="shared" si="179"/>
        <v>0</v>
      </c>
      <c r="T237" s="216" t="s">
        <v>1076</v>
      </c>
      <c r="U237" s="227" t="s">
        <v>1447</v>
      </c>
      <c r="V237" s="216">
        <v>11033.98</v>
      </c>
      <c r="W237" s="216">
        <v>5002.99</v>
      </c>
      <c r="X237" s="216"/>
      <c r="Y237" s="213">
        <f t="shared" si="180"/>
        <v>11033.98</v>
      </c>
      <c r="Z237" s="222">
        <v>2021</v>
      </c>
      <c r="AA237" s="228"/>
      <c r="AB237" s="218">
        <v>10100.057306087863</v>
      </c>
      <c r="AC237" s="220"/>
      <c r="AD237" s="220" t="s">
        <v>1442</v>
      </c>
      <c r="AE237" s="220" t="str">
        <f t="shared" si="181"/>
        <v>V</v>
      </c>
      <c r="AF237" s="229"/>
      <c r="AG237" s="220" t="e">
        <f t="shared" si="182"/>
        <v>#VALUE!</v>
      </c>
      <c r="AH237" s="220" t="str">
        <f t="shared" si="183"/>
        <v>2</v>
      </c>
      <c r="AI237" s="220"/>
      <c r="AJ237" s="221" t="str">
        <f t="shared" si="184"/>
        <v>1</v>
      </c>
      <c r="AK237" s="220" t="e">
        <f t="shared" si="185"/>
        <v>#VALUE!</v>
      </c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1" ht="16.5" customHeight="1" outlineLevel="2">
      <c r="A238" s="207">
        <f t="shared" si="175"/>
        <v>221</v>
      </c>
      <c r="B238" s="207">
        <v>5</v>
      </c>
      <c r="C238" s="245" t="s">
        <v>1448</v>
      </c>
      <c r="D238" s="209">
        <v>18294.931443255406</v>
      </c>
      <c r="E238" s="504" t="s">
        <v>91</v>
      </c>
      <c r="F238" s="213">
        <f t="shared" si="176"/>
        <v>18491</v>
      </c>
      <c r="G238" s="207" t="s">
        <v>1076</v>
      </c>
      <c r="H238" s="223">
        <f t="shared" si="177"/>
        <v>2021</v>
      </c>
      <c r="I238" s="224" t="s">
        <v>1449</v>
      </c>
      <c r="J238" s="213"/>
      <c r="K238" s="213"/>
      <c r="L238" s="213">
        <v>18491</v>
      </c>
      <c r="M238" s="213">
        <f t="shared" si="178"/>
        <v>18491</v>
      </c>
      <c r="N238" s="207" t="s">
        <v>1076</v>
      </c>
      <c r="O238" s="512" t="s">
        <v>1450</v>
      </c>
      <c r="P238" s="230">
        <v>17947.54</v>
      </c>
      <c r="Q238" s="230">
        <v>534.5</v>
      </c>
      <c r="R238" s="230">
        <v>18482.04</v>
      </c>
      <c r="S238" s="213">
        <f t="shared" si="179"/>
        <v>18482.04</v>
      </c>
      <c r="T238" s="216"/>
      <c r="U238" s="221"/>
      <c r="V238" s="216"/>
      <c r="W238" s="216"/>
      <c r="X238" s="216"/>
      <c r="Y238" s="213">
        <f t="shared" si="180"/>
        <v>0</v>
      </c>
      <c r="Z238" s="222">
        <v>2020</v>
      </c>
      <c r="AA238" s="228"/>
      <c r="AB238" s="218">
        <v>17126.165666261903</v>
      </c>
      <c r="AC238" s="220"/>
      <c r="AD238" s="220"/>
      <c r="AE238" s="220" t="str">
        <f t="shared" si="181"/>
        <v>VV</v>
      </c>
      <c r="AF238" s="229"/>
      <c r="AG238" s="220" t="str">
        <f t="shared" si="182"/>
        <v>1</v>
      </c>
      <c r="AH238" s="220" t="str">
        <f t="shared" si="183"/>
        <v>1</v>
      </c>
      <c r="AI238" s="220"/>
      <c r="AJ238" s="221" t="str">
        <f t="shared" si="184"/>
        <v>1</v>
      </c>
      <c r="AK238" s="220" t="str">
        <f t="shared" si="185"/>
        <v>1.1..1</v>
      </c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1" ht="16.5" customHeight="1" outlineLevel="1">
      <c r="A239" s="207"/>
      <c r="B239" s="235"/>
      <c r="C239" s="249" t="s">
        <v>1451</v>
      </c>
      <c r="D239" s="250"/>
      <c r="E239" s="238">
        <f>COUNTIF(E234:E238,"D") + COUNTIF(E234:E238,"DS")</f>
        <v>4</v>
      </c>
      <c r="F239" s="254">
        <f>SUBTOTAL(9,F234:F238)</f>
        <v>54099.990000000005</v>
      </c>
      <c r="G239" s="201"/>
      <c r="H239" s="240"/>
      <c r="I239" s="264"/>
      <c r="J239" s="254">
        <f t="shared" ref="J239:M239" si="186">SUBTOTAL(9,J234:J238)</f>
        <v>5500</v>
      </c>
      <c r="K239" s="254">
        <f t="shared" si="186"/>
        <v>0</v>
      </c>
      <c r="L239" s="254">
        <f t="shared" si="186"/>
        <v>23991</v>
      </c>
      <c r="M239" s="254">
        <f t="shared" si="186"/>
        <v>23991</v>
      </c>
      <c r="N239" s="201"/>
      <c r="O239" s="236"/>
      <c r="P239" s="255">
        <v>48889.020000000004</v>
      </c>
      <c r="Q239" s="255">
        <v>10205</v>
      </c>
      <c r="R239" s="255">
        <v>43057.05</v>
      </c>
      <c r="S239" s="254">
        <f>SUBTOTAL(9,S234:S238)</f>
        <v>23982.04</v>
      </c>
      <c r="T239" s="203">
        <v>3</v>
      </c>
      <c r="U239" s="201">
        <v>3</v>
      </c>
      <c r="V239" s="203">
        <v>48889.020000000004</v>
      </c>
      <c r="W239" s="203">
        <v>10205</v>
      </c>
      <c r="X239" s="203">
        <v>43057.05</v>
      </c>
      <c r="Y239" s="254">
        <f>SUBTOTAL(9,Y234:Y238)</f>
        <v>51685.229999999996</v>
      </c>
      <c r="Z239" s="243" t="s">
        <v>1138</v>
      </c>
      <c r="AA239" s="228"/>
      <c r="AB239" s="218">
        <f>SUM(AB234:AB238)</f>
        <v>73288.827031039094</v>
      </c>
      <c r="AC239" s="220"/>
      <c r="AD239" s="220" t="s">
        <v>1452</v>
      </c>
      <c r="AE239" s="244">
        <f>COUNTIF(AE234:AE238,"V") + COUNTIF(AE234:AE238,"VV") + COUNTIF(AE234:AE238,"VVV")</f>
        <v>4</v>
      </c>
      <c r="AF239" s="229"/>
      <c r="AG239" s="220"/>
      <c r="AH239" s="220"/>
      <c r="AI239" s="220"/>
      <c r="AJ239" s="221"/>
      <c r="AK239" s="220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1" ht="16.5" customHeight="1" outlineLevel="2">
      <c r="A240" s="207">
        <f t="shared" ref="A240:A277" si="187">SUBTOTAL(3,$B$6:B240)</f>
        <v>222</v>
      </c>
      <c r="B240" s="207">
        <v>1</v>
      </c>
      <c r="C240" s="245" t="s">
        <v>1453</v>
      </c>
      <c r="D240" s="209">
        <v>35383.552633982079</v>
      </c>
      <c r="E240" s="504" t="s">
        <v>91</v>
      </c>
      <c r="F240" s="213">
        <f>Y240</f>
        <v>34167.26</v>
      </c>
      <c r="G240" s="207"/>
      <c r="H240" s="281">
        <f t="shared" ref="H240:H277" si="188">VALUE(RIGHT(I240,4))</f>
        <v>2009</v>
      </c>
      <c r="I240" s="212" t="s">
        <v>1454</v>
      </c>
      <c r="J240" s="213">
        <v>12161.76</v>
      </c>
      <c r="K240" s="213">
        <v>0</v>
      </c>
      <c r="L240" s="213">
        <v>12161.76</v>
      </c>
      <c r="M240" s="213">
        <f t="shared" ref="M240:M277" si="189">IF(L240&gt;0,L240,IF(J240&gt;0,J240,0))</f>
        <v>12161.76</v>
      </c>
      <c r="N240" s="207"/>
      <c r="O240" s="253" t="s">
        <v>1455</v>
      </c>
      <c r="P240" s="230">
        <v>30002</v>
      </c>
      <c r="Q240" s="230">
        <v>0</v>
      </c>
      <c r="R240" s="230">
        <v>30002</v>
      </c>
      <c r="S240" s="213">
        <f t="shared" ref="S240:S277" si="190">IF(R240&gt;0,R240,IF(P240&gt;0,P240,0))</f>
        <v>30002</v>
      </c>
      <c r="T240" s="216" t="s">
        <v>1076</v>
      </c>
      <c r="U240" s="517" t="s">
        <v>511</v>
      </c>
      <c r="V240" s="216">
        <v>30000.06</v>
      </c>
      <c r="W240" s="216">
        <v>2967.08</v>
      </c>
      <c r="X240" s="216">
        <v>34167.26</v>
      </c>
      <c r="Y240" s="213">
        <f t="shared" ref="Y240:Y277" si="191">IF(X240&gt;0,X240,IF(V240&gt;0,V240,0))</f>
        <v>34167.26</v>
      </c>
      <c r="Z240" s="222">
        <v>2021</v>
      </c>
      <c r="AA240" s="228"/>
      <c r="AB240" s="218">
        <v>35656.06296487365</v>
      </c>
      <c r="AC240" s="220"/>
      <c r="AD240" s="220"/>
      <c r="AE240" s="220" t="str">
        <f t="shared" ref="AE240:AE277" si="192">CONCATENATE(G240,N240,T240)</f>
        <v>V</v>
      </c>
      <c r="AF240" s="229"/>
      <c r="AG240" s="220" t="str">
        <f t="shared" ref="AG240:AG277" si="193">IF(H240=0,"3",IF(H240&lt;=2018,"2","1"))</f>
        <v>2</v>
      </c>
      <c r="AH240" s="220" t="str">
        <f t="shared" ref="AH240:AH277" si="194">IF(M240&gt;0,"1","2")</f>
        <v>1</v>
      </c>
      <c r="AI240" s="220"/>
      <c r="AJ240" s="221" t="str">
        <f t="shared" ref="AJ240:AJ277" si="195">IF(S240&gt;0,"1",IF(Y240&gt;0,"1","2"))</f>
        <v>1</v>
      </c>
      <c r="AK240" s="220" t="str">
        <f t="shared" ref="AK240:AK277" si="196">CONCATENATE(AG240,".",AH240,".",AI240,".",AJ240)</f>
        <v>2.1..1</v>
      </c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spans="1:61" ht="16.5" customHeight="1" outlineLevel="2">
      <c r="A241" s="207">
        <f t="shared" si="187"/>
        <v>223</v>
      </c>
      <c r="B241" s="207">
        <v>2</v>
      </c>
      <c r="C241" s="245" t="s">
        <v>1456</v>
      </c>
      <c r="D241" s="209">
        <v>68095.010552074964</v>
      </c>
      <c r="E241" s="504" t="s">
        <v>104</v>
      </c>
      <c r="F241" s="213">
        <f>IF(M241&gt;0,M241,IF(S241&gt;0,S241,IF(Y241&gt;0,Y241,0)))</f>
        <v>61841</v>
      </c>
      <c r="G241" s="207"/>
      <c r="H241" s="281">
        <f t="shared" si="188"/>
        <v>2012</v>
      </c>
      <c r="I241" s="212" t="s">
        <v>223</v>
      </c>
      <c r="J241" s="213">
        <v>61841</v>
      </c>
      <c r="K241" s="213">
        <v>0</v>
      </c>
      <c r="L241" s="213">
        <v>61841</v>
      </c>
      <c r="M241" s="213">
        <f t="shared" si="189"/>
        <v>61841</v>
      </c>
      <c r="N241" s="207"/>
      <c r="O241" s="231"/>
      <c r="P241" s="230"/>
      <c r="Q241" s="230"/>
      <c r="R241" s="230"/>
      <c r="S241" s="213">
        <f t="shared" si="190"/>
        <v>0</v>
      </c>
      <c r="T241" s="216"/>
      <c r="U241" s="207"/>
      <c r="V241" s="216"/>
      <c r="W241" s="216"/>
      <c r="X241" s="216"/>
      <c r="Y241" s="213">
        <f t="shared" si="191"/>
        <v>0</v>
      </c>
      <c r="Z241" s="222">
        <v>2021</v>
      </c>
      <c r="AA241" s="228"/>
      <c r="AB241" s="218">
        <v>66816.363997773835</v>
      </c>
      <c r="AC241" s="220"/>
      <c r="AD241" s="220"/>
      <c r="AE241" s="220" t="str">
        <f t="shared" si="192"/>
        <v/>
      </c>
      <c r="AF241" s="229"/>
      <c r="AG241" s="220" t="str">
        <f t="shared" si="193"/>
        <v>2</v>
      </c>
      <c r="AH241" s="220" t="str">
        <f t="shared" si="194"/>
        <v>1</v>
      </c>
      <c r="AI241" s="220"/>
      <c r="AJ241" s="221" t="str">
        <f t="shared" si="195"/>
        <v>2</v>
      </c>
      <c r="AK241" s="220" t="str">
        <f t="shared" si="196"/>
        <v>2.1..2</v>
      </c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</row>
    <row r="242" spans="1:61" ht="16.5" customHeight="1" outlineLevel="2">
      <c r="A242" s="207">
        <f t="shared" si="187"/>
        <v>224</v>
      </c>
      <c r="B242" s="207">
        <v>3</v>
      </c>
      <c r="C242" s="245" t="s">
        <v>1457</v>
      </c>
      <c r="D242" s="209">
        <v>32552.653635475821</v>
      </c>
      <c r="E242" s="504" t="s">
        <v>91</v>
      </c>
      <c r="F242" s="213">
        <f>Y242</f>
        <v>37827.370000000003</v>
      </c>
      <c r="G242" s="207"/>
      <c r="H242" s="281">
        <f t="shared" si="188"/>
        <v>2013</v>
      </c>
      <c r="I242" s="212" t="s">
        <v>1318</v>
      </c>
      <c r="J242" s="213">
        <v>28403.32</v>
      </c>
      <c r="K242" s="213">
        <v>0</v>
      </c>
      <c r="L242" s="213">
        <v>28403.32</v>
      </c>
      <c r="M242" s="213">
        <f t="shared" si="189"/>
        <v>28403.32</v>
      </c>
      <c r="N242" s="207"/>
      <c r="O242" s="231"/>
      <c r="P242" s="230"/>
      <c r="Q242" s="230"/>
      <c r="R242" s="230"/>
      <c r="S242" s="213">
        <f t="shared" si="190"/>
        <v>0</v>
      </c>
      <c r="T242" s="216" t="s">
        <v>1076</v>
      </c>
      <c r="U242" s="518" t="s">
        <v>515</v>
      </c>
      <c r="V242" s="216">
        <v>35264.18</v>
      </c>
      <c r="W242" s="216">
        <v>2563.19</v>
      </c>
      <c r="X242" s="216">
        <v>37827.370000000003</v>
      </c>
      <c r="Y242" s="213">
        <f t="shared" si="191"/>
        <v>37827.370000000003</v>
      </c>
      <c r="Z242" s="222">
        <v>2022</v>
      </c>
      <c r="AA242" s="228"/>
      <c r="AB242" s="218">
        <v>31612.227530814525</v>
      </c>
      <c r="AC242" s="220"/>
      <c r="AD242" s="220"/>
      <c r="AE242" s="220" t="str">
        <f t="shared" si="192"/>
        <v>V</v>
      </c>
      <c r="AF242" s="229"/>
      <c r="AG242" s="220" t="str">
        <f t="shared" si="193"/>
        <v>2</v>
      </c>
      <c r="AH242" s="220" t="str">
        <f t="shared" si="194"/>
        <v>1</v>
      </c>
      <c r="AI242" s="220"/>
      <c r="AJ242" s="221" t="str">
        <f t="shared" si="195"/>
        <v>1</v>
      </c>
      <c r="AK242" s="220" t="str">
        <f t="shared" si="196"/>
        <v>2.1..1</v>
      </c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1" ht="16.5" customHeight="1" outlineLevel="2">
      <c r="A243" s="207">
        <f t="shared" si="187"/>
        <v>225</v>
      </c>
      <c r="B243" s="207">
        <v>4</v>
      </c>
      <c r="C243" s="245" t="s">
        <v>1458</v>
      </c>
      <c r="D243" s="209">
        <v>83197.421457319535</v>
      </c>
      <c r="E243" s="504" t="s">
        <v>104</v>
      </c>
      <c r="F243" s="213">
        <f t="shared" ref="F243:F244" si="197">IF(M243&gt;0,M243,IF(S243&gt;0,S243,IF(Y243&gt;0,Y243,0)))</f>
        <v>43178</v>
      </c>
      <c r="G243" s="207"/>
      <c r="H243" s="281">
        <f t="shared" si="188"/>
        <v>2021</v>
      </c>
      <c r="I243" s="212" t="s">
        <v>304</v>
      </c>
      <c r="J243" s="213">
        <v>43178</v>
      </c>
      <c r="K243" s="213">
        <v>0</v>
      </c>
      <c r="L243" s="213">
        <v>43178</v>
      </c>
      <c r="M243" s="213">
        <f t="shared" si="189"/>
        <v>43178</v>
      </c>
      <c r="N243" s="207"/>
      <c r="O243" s="231"/>
      <c r="P243" s="230"/>
      <c r="Q243" s="230"/>
      <c r="R243" s="230"/>
      <c r="S243" s="213">
        <f t="shared" si="190"/>
        <v>0</v>
      </c>
      <c r="T243" s="216"/>
      <c r="U243" s="207"/>
      <c r="V243" s="216"/>
      <c r="W243" s="216"/>
      <c r="X243" s="216"/>
      <c r="Y243" s="213">
        <f t="shared" si="191"/>
        <v>0</v>
      </c>
      <c r="Z243" s="222">
        <v>2021</v>
      </c>
      <c r="AA243" s="228"/>
      <c r="AB243" s="218">
        <v>93054.379346003203</v>
      </c>
      <c r="AC243" s="220"/>
      <c r="AD243" s="220"/>
      <c r="AE243" s="220" t="str">
        <f t="shared" si="192"/>
        <v/>
      </c>
      <c r="AF243" s="229"/>
      <c r="AG243" s="220" t="str">
        <f t="shared" si="193"/>
        <v>1</v>
      </c>
      <c r="AH243" s="220" t="str">
        <f t="shared" si="194"/>
        <v>1</v>
      </c>
      <c r="AI243" s="220"/>
      <c r="AJ243" s="221" t="str">
        <f t="shared" si="195"/>
        <v>2</v>
      </c>
      <c r="AK243" s="220" t="str">
        <f t="shared" si="196"/>
        <v>1.1..2</v>
      </c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spans="1:61" ht="16.5" customHeight="1" outlineLevel="2">
      <c r="A244" s="207">
        <f t="shared" si="187"/>
        <v>226</v>
      </c>
      <c r="B244" s="207">
        <v>5</v>
      </c>
      <c r="C244" s="245" t="s">
        <v>1459</v>
      </c>
      <c r="D244" s="209">
        <v>35758.413210953091</v>
      </c>
      <c r="E244" s="504" t="s">
        <v>104</v>
      </c>
      <c r="F244" s="213">
        <f t="shared" si="197"/>
        <v>47293.1</v>
      </c>
      <c r="G244" s="207"/>
      <c r="H244" s="281">
        <f t="shared" si="188"/>
        <v>2011</v>
      </c>
      <c r="I244" s="212" t="s">
        <v>405</v>
      </c>
      <c r="J244" s="213">
        <v>47293.1</v>
      </c>
      <c r="K244" s="213">
        <v>0</v>
      </c>
      <c r="L244" s="213">
        <v>47293.1</v>
      </c>
      <c r="M244" s="213">
        <f t="shared" si="189"/>
        <v>47293.1</v>
      </c>
      <c r="N244" s="207"/>
      <c r="O244" s="231"/>
      <c r="P244" s="230"/>
      <c r="Q244" s="230"/>
      <c r="R244" s="230"/>
      <c r="S244" s="213">
        <f t="shared" si="190"/>
        <v>0</v>
      </c>
      <c r="T244" s="216"/>
      <c r="U244" s="207"/>
      <c r="V244" s="216"/>
      <c r="W244" s="216"/>
      <c r="X244" s="216"/>
      <c r="Y244" s="213">
        <f t="shared" si="191"/>
        <v>0</v>
      </c>
      <c r="Z244" s="222">
        <v>2023</v>
      </c>
      <c r="AA244" s="228" t="s">
        <v>1160</v>
      </c>
      <c r="AB244" s="218">
        <v>35532.975629820066</v>
      </c>
      <c r="AC244" s="220"/>
      <c r="AD244" s="220"/>
      <c r="AE244" s="220" t="str">
        <f t="shared" si="192"/>
        <v/>
      </c>
      <c r="AF244" s="229"/>
      <c r="AG244" s="220" t="str">
        <f t="shared" si="193"/>
        <v>2</v>
      </c>
      <c r="AH244" s="220" t="str">
        <f t="shared" si="194"/>
        <v>1</v>
      </c>
      <c r="AI244" s="220"/>
      <c r="AJ244" s="221" t="str">
        <f t="shared" si="195"/>
        <v>2</v>
      </c>
      <c r="AK244" s="220" t="str">
        <f t="shared" si="196"/>
        <v>2.1..2</v>
      </c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</row>
    <row r="245" spans="1:61" ht="16.5" customHeight="1" outlineLevel="2">
      <c r="A245" s="207">
        <f t="shared" si="187"/>
        <v>227</v>
      </c>
      <c r="B245" s="207">
        <v>6</v>
      </c>
      <c r="C245" s="245" t="s">
        <v>1460</v>
      </c>
      <c r="D245" s="209">
        <v>41212.394951748516</v>
      </c>
      <c r="E245" s="504" t="s">
        <v>91</v>
      </c>
      <c r="F245" s="213">
        <f>S245</f>
        <v>24716</v>
      </c>
      <c r="G245" s="207"/>
      <c r="H245" s="281">
        <f t="shared" si="188"/>
        <v>2011</v>
      </c>
      <c r="I245" s="212" t="s">
        <v>1278</v>
      </c>
      <c r="J245" s="213">
        <v>10346</v>
      </c>
      <c r="K245" s="213">
        <v>0</v>
      </c>
      <c r="L245" s="213">
        <v>10346</v>
      </c>
      <c r="M245" s="213">
        <f t="shared" si="189"/>
        <v>10346</v>
      </c>
      <c r="N245" s="207" t="s">
        <v>1076</v>
      </c>
      <c r="O245" s="253" t="s">
        <v>1461</v>
      </c>
      <c r="P245" s="230">
        <v>24716</v>
      </c>
      <c r="Q245" s="230">
        <v>0</v>
      </c>
      <c r="R245" s="230">
        <v>24716</v>
      </c>
      <c r="S245" s="213">
        <f t="shared" si="190"/>
        <v>24716</v>
      </c>
      <c r="T245" s="216"/>
      <c r="U245" s="221"/>
      <c r="V245" s="216"/>
      <c r="W245" s="216"/>
      <c r="X245" s="216"/>
      <c r="Y245" s="213">
        <f t="shared" si="191"/>
        <v>0</v>
      </c>
      <c r="Z245" s="222">
        <v>2020</v>
      </c>
      <c r="AA245" s="228"/>
      <c r="AB245" s="218">
        <v>39939.402520329881</v>
      </c>
      <c r="AC245" s="220"/>
      <c r="AD245" s="220"/>
      <c r="AE245" s="220" t="str">
        <f t="shared" si="192"/>
        <v>V</v>
      </c>
      <c r="AF245" s="229"/>
      <c r="AG245" s="220" t="str">
        <f t="shared" si="193"/>
        <v>2</v>
      </c>
      <c r="AH245" s="220" t="str">
        <f t="shared" si="194"/>
        <v>1</v>
      </c>
      <c r="AI245" s="220"/>
      <c r="AJ245" s="221" t="str">
        <f t="shared" si="195"/>
        <v>1</v>
      </c>
      <c r="AK245" s="220" t="str">
        <f t="shared" si="196"/>
        <v>2.1..1</v>
      </c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</row>
    <row r="246" spans="1:61" ht="16.5" customHeight="1" outlineLevel="2">
      <c r="A246" s="207">
        <f t="shared" si="187"/>
        <v>228</v>
      </c>
      <c r="B246" s="207">
        <v>7</v>
      </c>
      <c r="C246" s="245" t="s">
        <v>1462</v>
      </c>
      <c r="D246" s="209">
        <v>80122.58130171895</v>
      </c>
      <c r="E246" s="504" t="s">
        <v>91</v>
      </c>
      <c r="F246" s="213">
        <f>Y246</f>
        <v>86358.6</v>
      </c>
      <c r="G246" s="207"/>
      <c r="H246" s="281">
        <f t="shared" si="188"/>
        <v>2015</v>
      </c>
      <c r="I246" s="212" t="s">
        <v>669</v>
      </c>
      <c r="J246" s="213">
        <v>81081</v>
      </c>
      <c r="K246" s="213">
        <v>0</v>
      </c>
      <c r="L246" s="213">
        <v>81081</v>
      </c>
      <c r="M246" s="213">
        <f t="shared" si="189"/>
        <v>81081</v>
      </c>
      <c r="N246" s="207"/>
      <c r="O246" s="231"/>
      <c r="P246" s="230"/>
      <c r="Q246" s="230"/>
      <c r="R246" s="230"/>
      <c r="S246" s="213">
        <f t="shared" si="190"/>
        <v>0</v>
      </c>
      <c r="T246" s="216" t="s">
        <v>1076</v>
      </c>
      <c r="U246" s="507" t="s">
        <v>522</v>
      </c>
      <c r="V246" s="275">
        <v>86358.6</v>
      </c>
      <c r="W246" s="216"/>
      <c r="X246" s="216">
        <f>V246</f>
        <v>86358.6</v>
      </c>
      <c r="Y246" s="213">
        <f t="shared" si="191"/>
        <v>86358.6</v>
      </c>
      <c r="Z246" s="222">
        <v>2022</v>
      </c>
      <c r="AA246" s="228"/>
      <c r="AB246" s="218">
        <v>77969.714713964495</v>
      </c>
      <c r="AC246" s="220"/>
      <c r="AD246" s="220"/>
      <c r="AE246" s="220" t="str">
        <f t="shared" si="192"/>
        <v>V</v>
      </c>
      <c r="AF246" s="229"/>
      <c r="AG246" s="220" t="str">
        <f t="shared" si="193"/>
        <v>2</v>
      </c>
      <c r="AH246" s="220" t="str">
        <f t="shared" si="194"/>
        <v>1</v>
      </c>
      <c r="AI246" s="220"/>
      <c r="AJ246" s="221" t="str">
        <f t="shared" si="195"/>
        <v>1</v>
      </c>
      <c r="AK246" s="220" t="str">
        <f t="shared" si="196"/>
        <v>2.1..1</v>
      </c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</row>
    <row r="247" spans="1:61" ht="16.5" customHeight="1" outlineLevel="2">
      <c r="A247" s="207">
        <f t="shared" si="187"/>
        <v>229</v>
      </c>
      <c r="B247" s="207">
        <v>8</v>
      </c>
      <c r="C247" s="245" t="s">
        <v>1463</v>
      </c>
      <c r="D247" s="209">
        <v>40668.700628725848</v>
      </c>
      <c r="E247" s="504" t="s">
        <v>91</v>
      </c>
      <c r="F247" s="213">
        <f>IF(M247&gt;0,M247,IF(S247&gt;0,S247,IF(Y247&gt;0,Y247,0)))</f>
        <v>38419</v>
      </c>
      <c r="G247" s="519" t="s">
        <v>1076</v>
      </c>
      <c r="H247" s="295">
        <f t="shared" si="188"/>
        <v>2021</v>
      </c>
      <c r="I247" s="520" t="s">
        <v>470</v>
      </c>
      <c r="J247" s="296">
        <v>0</v>
      </c>
      <c r="K247" s="296">
        <v>0</v>
      </c>
      <c r="L247" s="296">
        <v>38419</v>
      </c>
      <c r="M247" s="213">
        <f t="shared" si="189"/>
        <v>38419</v>
      </c>
      <c r="N247" s="207"/>
      <c r="O247" s="231"/>
      <c r="P247" s="230"/>
      <c r="Q247" s="230"/>
      <c r="R247" s="230"/>
      <c r="S247" s="213">
        <f t="shared" si="190"/>
        <v>0</v>
      </c>
      <c r="T247" s="216"/>
      <c r="U247" s="207"/>
      <c r="V247" s="216"/>
      <c r="W247" s="216"/>
      <c r="X247" s="216"/>
      <c r="Y247" s="213">
        <f t="shared" si="191"/>
        <v>0</v>
      </c>
      <c r="Z247" s="222" t="s">
        <v>1464</v>
      </c>
      <c r="AA247" s="228"/>
      <c r="AB247" s="218">
        <v>42493.9207198043</v>
      </c>
      <c r="AC247" s="220"/>
      <c r="AD247" s="220"/>
      <c r="AE247" s="220" t="str">
        <f t="shared" si="192"/>
        <v>V</v>
      </c>
      <c r="AF247" s="229"/>
      <c r="AG247" s="220" t="str">
        <f t="shared" si="193"/>
        <v>1</v>
      </c>
      <c r="AH247" s="220" t="str">
        <f t="shared" si="194"/>
        <v>1</v>
      </c>
      <c r="AI247" s="220"/>
      <c r="AJ247" s="221" t="str">
        <f t="shared" si="195"/>
        <v>2</v>
      </c>
      <c r="AK247" s="220" t="str">
        <f t="shared" si="196"/>
        <v>1.1..2</v>
      </c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</row>
    <row r="248" spans="1:61" ht="16.5" customHeight="1" outlineLevel="2">
      <c r="A248" s="207">
        <f t="shared" si="187"/>
        <v>230</v>
      </c>
      <c r="B248" s="207">
        <v>9</v>
      </c>
      <c r="C248" s="245" t="s">
        <v>1465</v>
      </c>
      <c r="D248" s="209">
        <v>44331.552932707651</v>
      </c>
      <c r="E248" s="504" t="s">
        <v>91</v>
      </c>
      <c r="F248" s="213">
        <f>S248</f>
        <v>38317</v>
      </c>
      <c r="G248" s="207"/>
      <c r="H248" s="281">
        <f t="shared" si="188"/>
        <v>2011</v>
      </c>
      <c r="I248" s="212" t="s">
        <v>795</v>
      </c>
      <c r="J248" s="213">
        <v>42291</v>
      </c>
      <c r="K248" s="213">
        <v>0</v>
      </c>
      <c r="L248" s="213">
        <v>42291</v>
      </c>
      <c r="M248" s="213">
        <f t="shared" si="189"/>
        <v>42291</v>
      </c>
      <c r="N248" s="207" t="s">
        <v>1076</v>
      </c>
      <c r="O248" s="253" t="s">
        <v>525</v>
      </c>
      <c r="P248" s="230">
        <v>38317</v>
      </c>
      <c r="Q248" s="230">
        <v>5851</v>
      </c>
      <c r="R248" s="230"/>
      <c r="S248" s="213">
        <f t="shared" si="190"/>
        <v>38317</v>
      </c>
      <c r="T248" s="216" t="s">
        <v>1076</v>
      </c>
      <c r="U248" s="221" t="s">
        <v>525</v>
      </c>
      <c r="V248" s="216">
        <v>38317</v>
      </c>
      <c r="W248" s="216">
        <v>5851</v>
      </c>
      <c r="X248" s="216"/>
      <c r="Y248" s="213">
        <f t="shared" si="191"/>
        <v>38317</v>
      </c>
      <c r="Z248" s="222">
        <v>2021</v>
      </c>
      <c r="AA248" s="228"/>
      <c r="AB248" s="218">
        <v>43493.720393207346</v>
      </c>
      <c r="AC248" s="220"/>
      <c r="AD248" s="220"/>
      <c r="AE248" s="220" t="str">
        <f t="shared" si="192"/>
        <v>VV</v>
      </c>
      <c r="AF248" s="229"/>
      <c r="AG248" s="220" t="str">
        <f t="shared" si="193"/>
        <v>2</v>
      </c>
      <c r="AH248" s="220" t="str">
        <f t="shared" si="194"/>
        <v>1</v>
      </c>
      <c r="AI248" s="220"/>
      <c r="AJ248" s="221" t="str">
        <f t="shared" si="195"/>
        <v>1</v>
      </c>
      <c r="AK248" s="220" t="str">
        <f t="shared" si="196"/>
        <v>2.1..1</v>
      </c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</row>
    <row r="249" spans="1:61" ht="16.5" customHeight="1" outlineLevel="2">
      <c r="A249" s="207">
        <f t="shared" si="187"/>
        <v>231</v>
      </c>
      <c r="B249" s="207">
        <v>10</v>
      </c>
      <c r="C249" s="245" t="s">
        <v>1466</v>
      </c>
      <c r="D249" s="209">
        <v>1613.0549755605523</v>
      </c>
      <c r="E249" s="504" t="s">
        <v>91</v>
      </c>
      <c r="F249" s="213">
        <f t="shared" ref="F249:F265" si="198">IF(M249&gt;0,M249,IF(S249&gt;0,S249,IF(Y249&gt;0,Y249,0)))</f>
        <v>1252</v>
      </c>
      <c r="G249" s="207" t="s">
        <v>1076</v>
      </c>
      <c r="H249" s="281">
        <f t="shared" si="188"/>
        <v>2011</v>
      </c>
      <c r="I249" s="212" t="s">
        <v>1467</v>
      </c>
      <c r="J249" s="213">
        <v>1252</v>
      </c>
      <c r="K249" s="213">
        <v>0</v>
      </c>
      <c r="L249" s="213">
        <v>1252</v>
      </c>
      <c r="M249" s="213">
        <f t="shared" si="189"/>
        <v>1252</v>
      </c>
      <c r="N249" s="207"/>
      <c r="O249" s="253" t="s">
        <v>1468</v>
      </c>
      <c r="P249" s="230">
        <v>1252</v>
      </c>
      <c r="Q249" s="230">
        <v>0</v>
      </c>
      <c r="R249" s="230">
        <v>1252</v>
      </c>
      <c r="S249" s="213">
        <f t="shared" si="190"/>
        <v>1252</v>
      </c>
      <c r="T249" s="216"/>
      <c r="U249" s="221"/>
      <c r="V249" s="216"/>
      <c r="W249" s="216"/>
      <c r="X249" s="216"/>
      <c r="Y249" s="213">
        <f t="shared" si="191"/>
        <v>0</v>
      </c>
      <c r="Z249" s="222" t="s">
        <v>1097</v>
      </c>
      <c r="AA249" s="228"/>
      <c r="AB249" s="218">
        <v>684.39971365794838</v>
      </c>
      <c r="AC249" s="220"/>
      <c r="AD249" s="220"/>
      <c r="AE249" s="220" t="str">
        <f t="shared" si="192"/>
        <v>V</v>
      </c>
      <c r="AF249" s="229"/>
      <c r="AG249" s="220" t="str">
        <f t="shared" si="193"/>
        <v>2</v>
      </c>
      <c r="AH249" s="220" t="str">
        <f t="shared" si="194"/>
        <v>1</v>
      </c>
      <c r="AI249" s="220"/>
      <c r="AJ249" s="221" t="str">
        <f t="shared" si="195"/>
        <v>1</v>
      </c>
      <c r="AK249" s="220" t="str">
        <f t="shared" si="196"/>
        <v>2.1..1</v>
      </c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</row>
    <row r="250" spans="1:61" ht="16.5" customHeight="1" outlineLevel="2">
      <c r="A250" s="207">
        <f t="shared" si="187"/>
        <v>232</v>
      </c>
      <c r="B250" s="207">
        <v>11</v>
      </c>
      <c r="C250" s="245" t="s">
        <v>1469</v>
      </c>
      <c r="D250" s="209">
        <v>936.54186489132246</v>
      </c>
      <c r="E250" s="504" t="s">
        <v>104</v>
      </c>
      <c r="F250" s="213">
        <f t="shared" si="198"/>
        <v>677</v>
      </c>
      <c r="G250" s="207"/>
      <c r="H250" s="281">
        <f t="shared" si="188"/>
        <v>2011</v>
      </c>
      <c r="I250" s="212" t="s">
        <v>405</v>
      </c>
      <c r="J250" s="213">
        <v>677</v>
      </c>
      <c r="K250" s="213">
        <v>0</v>
      </c>
      <c r="L250" s="213">
        <v>677</v>
      </c>
      <c r="M250" s="213">
        <f t="shared" si="189"/>
        <v>677</v>
      </c>
      <c r="N250" s="207"/>
      <c r="O250" s="231"/>
      <c r="P250" s="230"/>
      <c r="Q250" s="230"/>
      <c r="R250" s="230"/>
      <c r="S250" s="213">
        <f t="shared" si="190"/>
        <v>0</v>
      </c>
      <c r="T250" s="216"/>
      <c r="U250" s="207"/>
      <c r="V250" s="216"/>
      <c r="W250" s="216"/>
      <c r="X250" s="216"/>
      <c r="Y250" s="213">
        <f t="shared" si="191"/>
        <v>0</v>
      </c>
      <c r="Z250" s="222" t="s">
        <v>1097</v>
      </c>
      <c r="AA250" s="228"/>
      <c r="AB250" s="218">
        <v>933.90150727414664</v>
      </c>
      <c r="AC250" s="220"/>
      <c r="AD250" s="220"/>
      <c r="AE250" s="220" t="str">
        <f t="shared" si="192"/>
        <v/>
      </c>
      <c r="AF250" s="229"/>
      <c r="AG250" s="220" t="str">
        <f t="shared" si="193"/>
        <v>2</v>
      </c>
      <c r="AH250" s="220" t="str">
        <f t="shared" si="194"/>
        <v>1</v>
      </c>
      <c r="AI250" s="220"/>
      <c r="AJ250" s="221" t="str">
        <f t="shared" si="195"/>
        <v>2</v>
      </c>
      <c r="AK250" s="220" t="str">
        <f t="shared" si="196"/>
        <v>2.1..2</v>
      </c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</row>
    <row r="251" spans="1:61" ht="16.5" customHeight="1" outlineLevel="2">
      <c r="A251" s="207">
        <f t="shared" si="187"/>
        <v>233</v>
      </c>
      <c r="B251" s="207">
        <v>12</v>
      </c>
      <c r="C251" s="245" t="s">
        <v>1470</v>
      </c>
      <c r="D251" s="209">
        <v>1987.8947693763359</v>
      </c>
      <c r="E251" s="504" t="s">
        <v>104</v>
      </c>
      <c r="F251" s="213">
        <f t="shared" si="198"/>
        <v>500</v>
      </c>
      <c r="G251" s="207"/>
      <c r="H251" s="281">
        <f t="shared" si="188"/>
        <v>2012</v>
      </c>
      <c r="I251" s="212" t="s">
        <v>315</v>
      </c>
      <c r="J251" s="213">
        <v>500</v>
      </c>
      <c r="K251" s="213">
        <v>0</v>
      </c>
      <c r="L251" s="213">
        <v>500</v>
      </c>
      <c r="M251" s="213">
        <f t="shared" si="189"/>
        <v>500</v>
      </c>
      <c r="N251" s="207"/>
      <c r="O251" s="253" t="s">
        <v>1471</v>
      </c>
      <c r="P251" s="230">
        <v>509.95</v>
      </c>
      <c r="Q251" s="230">
        <v>0</v>
      </c>
      <c r="R251" s="230">
        <v>509.95</v>
      </c>
      <c r="S251" s="213">
        <f t="shared" si="190"/>
        <v>509.95</v>
      </c>
      <c r="T251" s="216"/>
      <c r="U251" s="221"/>
      <c r="V251" s="216"/>
      <c r="W251" s="216"/>
      <c r="X251" s="216"/>
      <c r="Y251" s="213">
        <f t="shared" si="191"/>
        <v>0</v>
      </c>
      <c r="Z251" s="222" t="s">
        <v>1097</v>
      </c>
      <c r="AA251" s="228"/>
      <c r="AB251" s="218">
        <v>1847.1324727030749</v>
      </c>
      <c r="AC251" s="220"/>
      <c r="AD251" s="220"/>
      <c r="AE251" s="220" t="str">
        <f t="shared" si="192"/>
        <v/>
      </c>
      <c r="AF251" s="229"/>
      <c r="AG251" s="220" t="str">
        <f t="shared" si="193"/>
        <v>2</v>
      </c>
      <c r="AH251" s="220" t="str">
        <f t="shared" si="194"/>
        <v>1</v>
      </c>
      <c r="AI251" s="220"/>
      <c r="AJ251" s="221" t="str">
        <f t="shared" si="195"/>
        <v>1</v>
      </c>
      <c r="AK251" s="220" t="str">
        <f t="shared" si="196"/>
        <v>2.1..1</v>
      </c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</row>
    <row r="252" spans="1:61" ht="16.5" customHeight="1" outlineLevel="2">
      <c r="A252" s="207">
        <f t="shared" si="187"/>
        <v>234</v>
      </c>
      <c r="B252" s="207">
        <v>13</v>
      </c>
      <c r="C252" s="245" t="s">
        <v>1472</v>
      </c>
      <c r="D252" s="209">
        <v>1062.1723245994547</v>
      </c>
      <c r="E252" s="504" t="s">
        <v>104</v>
      </c>
      <c r="F252" s="213">
        <f t="shared" si="198"/>
        <v>444</v>
      </c>
      <c r="G252" s="207"/>
      <c r="H252" s="281">
        <f t="shared" si="188"/>
        <v>2011</v>
      </c>
      <c r="I252" s="212" t="s">
        <v>1431</v>
      </c>
      <c r="J252" s="213">
        <v>444</v>
      </c>
      <c r="K252" s="213">
        <v>0</v>
      </c>
      <c r="L252" s="213">
        <v>444</v>
      </c>
      <c r="M252" s="213">
        <f t="shared" si="189"/>
        <v>444</v>
      </c>
      <c r="N252" s="207"/>
      <c r="O252" s="231"/>
      <c r="P252" s="230"/>
      <c r="Q252" s="230"/>
      <c r="R252" s="230"/>
      <c r="S252" s="213">
        <f t="shared" si="190"/>
        <v>0</v>
      </c>
      <c r="T252" s="216"/>
      <c r="U252" s="207"/>
      <c r="V252" s="216"/>
      <c r="W252" s="216"/>
      <c r="X252" s="216"/>
      <c r="Y252" s="213">
        <f t="shared" si="191"/>
        <v>0</v>
      </c>
      <c r="Z252" s="222" t="s">
        <v>1097</v>
      </c>
      <c r="AA252" s="228"/>
      <c r="AB252" s="218">
        <v>973.07701794421212</v>
      </c>
      <c r="AC252" s="220"/>
      <c r="AD252" s="220"/>
      <c r="AE252" s="220" t="str">
        <f t="shared" si="192"/>
        <v/>
      </c>
      <c r="AF252" s="229"/>
      <c r="AG252" s="220" t="str">
        <f t="shared" si="193"/>
        <v>2</v>
      </c>
      <c r="AH252" s="220" t="str">
        <f t="shared" si="194"/>
        <v>1</v>
      </c>
      <c r="AI252" s="220"/>
      <c r="AJ252" s="221" t="str">
        <f t="shared" si="195"/>
        <v>2</v>
      </c>
      <c r="AK252" s="220" t="str">
        <f t="shared" si="196"/>
        <v>2.1..2</v>
      </c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</row>
    <row r="253" spans="1:61" ht="16.5" customHeight="1" outlineLevel="2">
      <c r="A253" s="207">
        <f t="shared" si="187"/>
        <v>235</v>
      </c>
      <c r="B253" s="207">
        <v>14</v>
      </c>
      <c r="C253" s="245" t="s">
        <v>1473</v>
      </c>
      <c r="D253" s="209">
        <v>1215.959613843077</v>
      </c>
      <c r="E253" s="504" t="s">
        <v>661</v>
      </c>
      <c r="F253" s="213">
        <f t="shared" si="198"/>
        <v>0</v>
      </c>
      <c r="G253" s="207"/>
      <c r="H253" s="281" t="e">
        <f t="shared" si="188"/>
        <v>#VALUE!</v>
      </c>
      <c r="I253" s="212"/>
      <c r="J253" s="213"/>
      <c r="K253" s="213"/>
      <c r="L253" s="213"/>
      <c r="M253" s="213">
        <f t="shared" si="189"/>
        <v>0</v>
      </c>
      <c r="N253" s="207"/>
      <c r="O253" s="231"/>
      <c r="P253" s="230"/>
      <c r="Q253" s="230"/>
      <c r="R253" s="230"/>
      <c r="S253" s="213">
        <f t="shared" si="190"/>
        <v>0</v>
      </c>
      <c r="T253" s="216"/>
      <c r="U253" s="207"/>
      <c r="V253" s="216"/>
      <c r="W253" s="216"/>
      <c r="X253" s="216"/>
      <c r="Y253" s="213">
        <f t="shared" si="191"/>
        <v>0</v>
      </c>
      <c r="Z253" s="222" t="s">
        <v>1097</v>
      </c>
      <c r="AA253" s="228"/>
      <c r="AB253" s="218">
        <v>1012.0432391550631</v>
      </c>
      <c r="AC253" s="220"/>
      <c r="AD253" s="220"/>
      <c r="AE253" s="220" t="str">
        <f t="shared" si="192"/>
        <v/>
      </c>
      <c r="AF253" s="229"/>
      <c r="AG253" s="220" t="e">
        <f t="shared" si="193"/>
        <v>#VALUE!</v>
      </c>
      <c r="AH253" s="220" t="str">
        <f t="shared" si="194"/>
        <v>2</v>
      </c>
      <c r="AI253" s="220"/>
      <c r="AJ253" s="221" t="str">
        <f t="shared" si="195"/>
        <v>2</v>
      </c>
      <c r="AK253" s="220" t="e">
        <f t="shared" si="196"/>
        <v>#VALUE!</v>
      </c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</row>
    <row r="254" spans="1:61" ht="16.5" customHeight="1" outlineLevel="2">
      <c r="A254" s="207">
        <f t="shared" si="187"/>
        <v>236</v>
      </c>
      <c r="B254" s="207">
        <v>15</v>
      </c>
      <c r="C254" s="245" t="s">
        <v>1474</v>
      </c>
      <c r="D254" s="209">
        <v>439.03397320838656</v>
      </c>
      <c r="E254" s="504" t="s">
        <v>104</v>
      </c>
      <c r="F254" s="213">
        <f t="shared" si="198"/>
        <v>104.25</v>
      </c>
      <c r="G254" s="207"/>
      <c r="H254" s="281">
        <f t="shared" si="188"/>
        <v>2012</v>
      </c>
      <c r="I254" s="212" t="s">
        <v>432</v>
      </c>
      <c r="J254" s="213">
        <v>104.25</v>
      </c>
      <c r="K254" s="213">
        <v>0</v>
      </c>
      <c r="L254" s="213">
        <v>104.25</v>
      </c>
      <c r="M254" s="213">
        <f t="shared" si="189"/>
        <v>104.25</v>
      </c>
      <c r="N254" s="207"/>
      <c r="O254" s="231"/>
      <c r="P254" s="230"/>
      <c r="Q254" s="230"/>
      <c r="R254" s="230"/>
      <c r="S254" s="213">
        <f t="shared" si="190"/>
        <v>0</v>
      </c>
      <c r="T254" s="216"/>
      <c r="U254" s="207"/>
      <c r="V254" s="216"/>
      <c r="W254" s="216"/>
      <c r="X254" s="216"/>
      <c r="Y254" s="213">
        <f t="shared" si="191"/>
        <v>0</v>
      </c>
      <c r="Z254" s="222" t="s">
        <v>1097</v>
      </c>
      <c r="AA254" s="228"/>
      <c r="AB254" s="218">
        <v>354.65660151063628</v>
      </c>
      <c r="AC254" s="220"/>
      <c r="AD254" s="220"/>
      <c r="AE254" s="220" t="str">
        <f t="shared" si="192"/>
        <v/>
      </c>
      <c r="AF254" s="229"/>
      <c r="AG254" s="220" t="str">
        <f t="shared" si="193"/>
        <v>2</v>
      </c>
      <c r="AH254" s="220" t="str">
        <f t="shared" si="194"/>
        <v>1</v>
      </c>
      <c r="AI254" s="220"/>
      <c r="AJ254" s="221" t="str">
        <f t="shared" si="195"/>
        <v>2</v>
      </c>
      <c r="AK254" s="220" t="str">
        <f t="shared" si="196"/>
        <v>2.1..2</v>
      </c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</row>
    <row r="255" spans="1:61" ht="16.5" customHeight="1" outlineLevel="2">
      <c r="A255" s="207">
        <f t="shared" si="187"/>
        <v>237</v>
      </c>
      <c r="B255" s="207">
        <v>16</v>
      </c>
      <c r="C255" s="245" t="s">
        <v>1475</v>
      </c>
      <c r="D255" s="209">
        <v>888.4012934805487</v>
      </c>
      <c r="E255" s="504" t="s">
        <v>104</v>
      </c>
      <c r="F255" s="213">
        <f t="shared" si="198"/>
        <v>605</v>
      </c>
      <c r="G255" s="207"/>
      <c r="H255" s="281">
        <f t="shared" si="188"/>
        <v>2012</v>
      </c>
      <c r="I255" s="212" t="s">
        <v>315</v>
      </c>
      <c r="J255" s="213">
        <v>605</v>
      </c>
      <c r="K255" s="213">
        <v>0</v>
      </c>
      <c r="L255" s="213">
        <v>605</v>
      </c>
      <c r="M255" s="213">
        <f t="shared" si="189"/>
        <v>605</v>
      </c>
      <c r="N255" s="207"/>
      <c r="O255" s="231"/>
      <c r="P255" s="230"/>
      <c r="Q255" s="230"/>
      <c r="R255" s="230"/>
      <c r="S255" s="213">
        <f t="shared" si="190"/>
        <v>0</v>
      </c>
      <c r="T255" s="216"/>
      <c r="U255" s="207"/>
      <c r="V255" s="216"/>
      <c r="W255" s="216"/>
      <c r="X255" s="216"/>
      <c r="Y255" s="213">
        <f t="shared" si="191"/>
        <v>0</v>
      </c>
      <c r="Z255" s="222" t="s">
        <v>1097</v>
      </c>
      <c r="AA255" s="228"/>
      <c r="AB255" s="218">
        <v>983.45589060690929</v>
      </c>
      <c r="AC255" s="220"/>
      <c r="AD255" s="220"/>
      <c r="AE255" s="220" t="str">
        <f t="shared" si="192"/>
        <v/>
      </c>
      <c r="AF255" s="229"/>
      <c r="AG255" s="220" t="str">
        <f t="shared" si="193"/>
        <v>2</v>
      </c>
      <c r="AH255" s="220" t="str">
        <f t="shared" si="194"/>
        <v>1</v>
      </c>
      <c r="AI255" s="220"/>
      <c r="AJ255" s="221" t="str">
        <f t="shared" si="195"/>
        <v>2</v>
      </c>
      <c r="AK255" s="220" t="str">
        <f t="shared" si="196"/>
        <v>2.1..2</v>
      </c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spans="1:61" ht="16.5" customHeight="1" outlineLevel="2">
      <c r="A256" s="207">
        <f t="shared" si="187"/>
        <v>238</v>
      </c>
      <c r="B256" s="207">
        <v>17</v>
      </c>
      <c r="C256" s="245" t="s">
        <v>1476</v>
      </c>
      <c r="D256" s="209">
        <v>2231.6048976267548</v>
      </c>
      <c r="E256" s="504" t="s">
        <v>91</v>
      </c>
      <c r="F256" s="213">
        <f t="shared" si="198"/>
        <v>1099</v>
      </c>
      <c r="G256" s="207" t="s">
        <v>1076</v>
      </c>
      <c r="H256" s="223">
        <f t="shared" si="188"/>
        <v>2020</v>
      </c>
      <c r="I256" s="248" t="s">
        <v>262</v>
      </c>
      <c r="J256" s="246">
        <v>1099</v>
      </c>
      <c r="K256" s="246">
        <v>0</v>
      </c>
      <c r="L256" s="246">
        <v>1099</v>
      </c>
      <c r="M256" s="213">
        <f t="shared" si="189"/>
        <v>1099</v>
      </c>
      <c r="N256" s="207"/>
      <c r="O256" s="231"/>
      <c r="P256" s="230"/>
      <c r="Q256" s="230"/>
      <c r="R256" s="230"/>
      <c r="S256" s="213">
        <f t="shared" si="190"/>
        <v>0</v>
      </c>
      <c r="T256" s="216"/>
      <c r="U256" s="207"/>
      <c r="V256" s="216"/>
      <c r="W256" s="216"/>
      <c r="X256" s="216"/>
      <c r="Y256" s="213">
        <f t="shared" si="191"/>
        <v>0</v>
      </c>
      <c r="Z256" s="222">
        <v>2020</v>
      </c>
      <c r="AA256" s="228"/>
      <c r="AB256" s="218">
        <v>2069.9713681840822</v>
      </c>
      <c r="AC256" s="220"/>
      <c r="AD256" s="220"/>
      <c r="AE256" s="220" t="str">
        <f t="shared" si="192"/>
        <v>V</v>
      </c>
      <c r="AF256" s="229"/>
      <c r="AG256" s="220" t="str">
        <f t="shared" si="193"/>
        <v>1</v>
      </c>
      <c r="AH256" s="220" t="str">
        <f t="shared" si="194"/>
        <v>1</v>
      </c>
      <c r="AI256" s="220"/>
      <c r="AJ256" s="221" t="str">
        <f t="shared" si="195"/>
        <v>2</v>
      </c>
      <c r="AK256" s="220" t="str">
        <f t="shared" si="196"/>
        <v>1.1..2</v>
      </c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</row>
    <row r="257" spans="1:61" ht="16.5" customHeight="1" outlineLevel="2">
      <c r="A257" s="207">
        <f t="shared" si="187"/>
        <v>239</v>
      </c>
      <c r="B257" s="207">
        <v>18</v>
      </c>
      <c r="C257" s="245" t="s">
        <v>1477</v>
      </c>
      <c r="D257" s="209">
        <v>2226.0435262682659</v>
      </c>
      <c r="E257" s="504" t="s">
        <v>661</v>
      </c>
      <c r="F257" s="213">
        <f t="shared" si="198"/>
        <v>0</v>
      </c>
      <c r="G257" s="207"/>
      <c r="H257" s="223" t="e">
        <f t="shared" si="188"/>
        <v>#VALUE!</v>
      </c>
      <c r="I257" s="248"/>
      <c r="J257" s="246"/>
      <c r="K257" s="246"/>
      <c r="L257" s="246"/>
      <c r="M257" s="213">
        <f t="shared" si="189"/>
        <v>0</v>
      </c>
      <c r="N257" s="207"/>
      <c r="O257" s="231"/>
      <c r="P257" s="230"/>
      <c r="Q257" s="230"/>
      <c r="R257" s="230"/>
      <c r="S257" s="213">
        <f t="shared" si="190"/>
        <v>0</v>
      </c>
      <c r="T257" s="216"/>
      <c r="U257" s="207"/>
      <c r="V257" s="216"/>
      <c r="W257" s="216"/>
      <c r="X257" s="216"/>
      <c r="Y257" s="213">
        <f t="shared" si="191"/>
        <v>0</v>
      </c>
      <c r="Z257" s="222" t="s">
        <v>1097</v>
      </c>
      <c r="AA257" s="228"/>
      <c r="AB257" s="218">
        <v>1200.3823819623171</v>
      </c>
      <c r="AC257" s="220"/>
      <c r="AD257" s="220"/>
      <c r="AE257" s="220" t="str">
        <f t="shared" si="192"/>
        <v/>
      </c>
      <c r="AF257" s="229"/>
      <c r="AG257" s="220" t="e">
        <f t="shared" si="193"/>
        <v>#VALUE!</v>
      </c>
      <c r="AH257" s="220" t="str">
        <f t="shared" si="194"/>
        <v>2</v>
      </c>
      <c r="AI257" s="220"/>
      <c r="AJ257" s="221" t="str">
        <f t="shared" si="195"/>
        <v>2</v>
      </c>
      <c r="AK257" s="220" t="e">
        <f t="shared" si="196"/>
        <v>#VALUE!</v>
      </c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spans="1:61" ht="16.5" customHeight="1" outlineLevel="2">
      <c r="A258" s="207">
        <f t="shared" si="187"/>
        <v>240</v>
      </c>
      <c r="B258" s="207">
        <v>19</v>
      </c>
      <c r="C258" s="245" t="s">
        <v>1478</v>
      </c>
      <c r="D258" s="209">
        <v>99386.965617747657</v>
      </c>
      <c r="E258" s="504" t="s">
        <v>91</v>
      </c>
      <c r="F258" s="213">
        <f t="shared" si="198"/>
        <v>53384</v>
      </c>
      <c r="G258" s="207" t="s">
        <v>1076</v>
      </c>
      <c r="H258" s="223">
        <f t="shared" si="188"/>
        <v>2021</v>
      </c>
      <c r="I258" s="248" t="s">
        <v>265</v>
      </c>
      <c r="J258" s="246">
        <v>45851</v>
      </c>
      <c r="K258" s="246">
        <v>0</v>
      </c>
      <c r="L258" s="246">
        <v>53384</v>
      </c>
      <c r="M258" s="213">
        <f t="shared" si="189"/>
        <v>53384</v>
      </c>
      <c r="N258" s="207"/>
      <c r="O258" s="253" t="s">
        <v>1479</v>
      </c>
      <c r="P258" s="230">
        <v>45841</v>
      </c>
      <c r="Q258" s="230">
        <v>0</v>
      </c>
      <c r="R258" s="230">
        <v>45841</v>
      </c>
      <c r="S258" s="213">
        <f t="shared" si="190"/>
        <v>45841</v>
      </c>
      <c r="T258" s="216"/>
      <c r="U258" s="221"/>
      <c r="V258" s="216"/>
      <c r="W258" s="216"/>
      <c r="X258" s="216"/>
      <c r="Y258" s="213">
        <f t="shared" si="191"/>
        <v>0</v>
      </c>
      <c r="Z258" s="222">
        <v>2020</v>
      </c>
      <c r="AA258" s="228"/>
      <c r="AB258" s="218">
        <v>98481.918243155626</v>
      </c>
      <c r="AC258" s="220"/>
      <c r="AD258" s="220"/>
      <c r="AE258" s="220" t="str">
        <f t="shared" si="192"/>
        <v>V</v>
      </c>
      <c r="AF258" s="229"/>
      <c r="AG258" s="220" t="str">
        <f t="shared" si="193"/>
        <v>1</v>
      </c>
      <c r="AH258" s="220" t="str">
        <f t="shared" si="194"/>
        <v>1</v>
      </c>
      <c r="AI258" s="220"/>
      <c r="AJ258" s="221" t="str">
        <f t="shared" si="195"/>
        <v>1</v>
      </c>
      <c r="AK258" s="220" t="str">
        <f t="shared" si="196"/>
        <v>1.1..1</v>
      </c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</row>
    <row r="259" spans="1:61" ht="16.5" customHeight="1" outlineLevel="2">
      <c r="A259" s="207">
        <f t="shared" si="187"/>
        <v>241</v>
      </c>
      <c r="B259" s="207">
        <v>20</v>
      </c>
      <c r="C259" s="245" t="s">
        <v>1480</v>
      </c>
      <c r="D259" s="209">
        <v>34597.324484821533</v>
      </c>
      <c r="E259" s="504" t="s">
        <v>91</v>
      </c>
      <c r="F259" s="213">
        <f t="shared" si="198"/>
        <v>32323</v>
      </c>
      <c r="G259" s="207"/>
      <c r="H259" s="281">
        <f t="shared" si="188"/>
        <v>2013</v>
      </c>
      <c r="I259" s="212" t="s">
        <v>167</v>
      </c>
      <c r="J259" s="213">
        <v>32323</v>
      </c>
      <c r="K259" s="213">
        <v>0</v>
      </c>
      <c r="L259" s="213">
        <v>32323</v>
      </c>
      <c r="M259" s="213">
        <f t="shared" si="189"/>
        <v>32323</v>
      </c>
      <c r="N259" s="207" t="s">
        <v>1076</v>
      </c>
      <c r="O259" s="253" t="s">
        <v>1481</v>
      </c>
      <c r="P259" s="230">
        <v>32331.83</v>
      </c>
      <c r="Q259" s="230">
        <v>0</v>
      </c>
      <c r="R259" s="230">
        <v>32331.83</v>
      </c>
      <c r="S259" s="213">
        <f t="shared" si="190"/>
        <v>32331.83</v>
      </c>
      <c r="T259" s="216"/>
      <c r="U259" s="221"/>
      <c r="V259" s="216"/>
      <c r="W259" s="216"/>
      <c r="X259" s="216"/>
      <c r="Y259" s="213">
        <f t="shared" si="191"/>
        <v>0</v>
      </c>
      <c r="Z259" s="222">
        <v>2020</v>
      </c>
      <c r="AA259" s="228"/>
      <c r="AB259" s="218">
        <v>28302.807971886814</v>
      </c>
      <c r="AC259" s="220"/>
      <c r="AD259" s="220"/>
      <c r="AE259" s="220" t="str">
        <f t="shared" si="192"/>
        <v>V</v>
      </c>
      <c r="AF259" s="229"/>
      <c r="AG259" s="220" t="str">
        <f t="shared" si="193"/>
        <v>2</v>
      </c>
      <c r="AH259" s="220" t="str">
        <f t="shared" si="194"/>
        <v>1</v>
      </c>
      <c r="AI259" s="220"/>
      <c r="AJ259" s="221" t="str">
        <f t="shared" si="195"/>
        <v>1</v>
      </c>
      <c r="AK259" s="220" t="str">
        <f t="shared" si="196"/>
        <v>2.1..1</v>
      </c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</row>
    <row r="260" spans="1:61" ht="16.5" customHeight="1" outlineLevel="2">
      <c r="A260" s="207">
        <f t="shared" si="187"/>
        <v>242</v>
      </c>
      <c r="B260" s="207">
        <v>21</v>
      </c>
      <c r="C260" s="297" t="s">
        <v>1482</v>
      </c>
      <c r="D260" s="209">
        <v>31542.070511842423</v>
      </c>
      <c r="E260" s="504" t="s">
        <v>91</v>
      </c>
      <c r="F260" s="213">
        <f t="shared" si="198"/>
        <v>21587</v>
      </c>
      <c r="G260" s="207"/>
      <c r="H260" s="281" t="e">
        <f t="shared" si="188"/>
        <v>#VALUE!</v>
      </c>
      <c r="I260" s="212"/>
      <c r="J260" s="213"/>
      <c r="K260" s="213"/>
      <c r="L260" s="213"/>
      <c r="M260" s="213">
        <f t="shared" si="189"/>
        <v>0</v>
      </c>
      <c r="N260" s="207"/>
      <c r="O260" s="253"/>
      <c r="P260" s="230"/>
      <c r="Q260" s="230"/>
      <c r="R260" s="230"/>
      <c r="S260" s="213">
        <f t="shared" si="190"/>
        <v>0</v>
      </c>
      <c r="T260" s="216" t="s">
        <v>1076</v>
      </c>
      <c r="U260" s="221" t="s">
        <v>1483</v>
      </c>
      <c r="V260" s="216">
        <v>21587</v>
      </c>
      <c r="W260" s="216">
        <v>0</v>
      </c>
      <c r="X260" s="216">
        <v>21587</v>
      </c>
      <c r="Y260" s="213">
        <f t="shared" si="191"/>
        <v>21587</v>
      </c>
      <c r="Z260" s="222">
        <v>2021</v>
      </c>
      <c r="AA260" s="228"/>
      <c r="AB260" s="218">
        <v>30662.609933278774</v>
      </c>
      <c r="AC260" s="220"/>
      <c r="AD260" s="220"/>
      <c r="AE260" s="220" t="str">
        <f t="shared" si="192"/>
        <v>V</v>
      </c>
      <c r="AF260" s="229"/>
      <c r="AG260" s="220" t="e">
        <f t="shared" si="193"/>
        <v>#VALUE!</v>
      </c>
      <c r="AH260" s="220" t="str">
        <f t="shared" si="194"/>
        <v>2</v>
      </c>
      <c r="AI260" s="220"/>
      <c r="AJ260" s="221" t="str">
        <f t="shared" si="195"/>
        <v>1</v>
      </c>
      <c r="AK260" s="220" t="e">
        <f t="shared" si="196"/>
        <v>#VALUE!</v>
      </c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</row>
    <row r="261" spans="1:61" ht="16.5" customHeight="1" outlineLevel="2">
      <c r="A261" s="207">
        <f t="shared" si="187"/>
        <v>243</v>
      </c>
      <c r="B261" s="207">
        <v>22</v>
      </c>
      <c r="C261" s="245" t="s">
        <v>1484</v>
      </c>
      <c r="D261" s="209">
        <v>24742.728315061559</v>
      </c>
      <c r="E261" s="504" t="s">
        <v>104</v>
      </c>
      <c r="F261" s="213">
        <f t="shared" si="198"/>
        <v>19084</v>
      </c>
      <c r="G261" s="207"/>
      <c r="H261" s="281">
        <f t="shared" si="188"/>
        <v>2012</v>
      </c>
      <c r="I261" s="212" t="s">
        <v>1256</v>
      </c>
      <c r="J261" s="213">
        <v>19084</v>
      </c>
      <c r="K261" s="213">
        <v>0</v>
      </c>
      <c r="L261" s="213">
        <v>19084</v>
      </c>
      <c r="M261" s="213">
        <f t="shared" si="189"/>
        <v>19084</v>
      </c>
      <c r="N261" s="207"/>
      <c r="O261" s="253" t="s">
        <v>1485</v>
      </c>
      <c r="P261" s="230">
        <v>19084</v>
      </c>
      <c r="Q261" s="230">
        <v>0</v>
      </c>
      <c r="R261" s="230">
        <v>19084</v>
      </c>
      <c r="S261" s="213">
        <f t="shared" si="190"/>
        <v>19084</v>
      </c>
      <c r="T261" s="216"/>
      <c r="U261" s="221"/>
      <c r="V261" s="216"/>
      <c r="W261" s="216"/>
      <c r="X261" s="216"/>
      <c r="Y261" s="213">
        <f t="shared" si="191"/>
        <v>0</v>
      </c>
      <c r="Z261" s="222" t="s">
        <v>1129</v>
      </c>
      <c r="AA261" s="228" t="s">
        <v>1160</v>
      </c>
      <c r="AB261" s="218">
        <v>24696.152394729143</v>
      </c>
      <c r="AC261" s="220"/>
      <c r="AD261" s="220"/>
      <c r="AE261" s="220" t="str">
        <f t="shared" si="192"/>
        <v/>
      </c>
      <c r="AF261" s="229"/>
      <c r="AG261" s="220" t="str">
        <f t="shared" si="193"/>
        <v>2</v>
      </c>
      <c r="AH261" s="220" t="str">
        <f t="shared" si="194"/>
        <v>1</v>
      </c>
      <c r="AI261" s="220"/>
      <c r="AJ261" s="221" t="str">
        <f t="shared" si="195"/>
        <v>1</v>
      </c>
      <c r="AK261" s="220" t="str">
        <f t="shared" si="196"/>
        <v>2.1..1</v>
      </c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</row>
    <row r="262" spans="1:61" ht="16.5" customHeight="1" outlineLevel="2">
      <c r="A262" s="207">
        <f t="shared" si="187"/>
        <v>244</v>
      </c>
      <c r="B262" s="207">
        <v>23</v>
      </c>
      <c r="C262" s="245" t="s">
        <v>1486</v>
      </c>
      <c r="D262" s="209">
        <v>44374.849990227092</v>
      </c>
      <c r="E262" s="504" t="s">
        <v>104</v>
      </c>
      <c r="F262" s="213">
        <f t="shared" si="198"/>
        <v>33110.300000000003</v>
      </c>
      <c r="G262" s="207"/>
      <c r="H262" s="281">
        <f t="shared" si="188"/>
        <v>2010</v>
      </c>
      <c r="I262" s="212" t="s">
        <v>1487</v>
      </c>
      <c r="J262" s="213">
        <v>33110.300000000003</v>
      </c>
      <c r="K262" s="213">
        <v>0</v>
      </c>
      <c r="L262" s="213">
        <v>33110.300000000003</v>
      </c>
      <c r="M262" s="213">
        <f t="shared" si="189"/>
        <v>33110.300000000003</v>
      </c>
      <c r="N262" s="207"/>
      <c r="O262" s="253" t="s">
        <v>1488</v>
      </c>
      <c r="P262" s="230">
        <v>45888.23</v>
      </c>
      <c r="Q262" s="230">
        <v>0</v>
      </c>
      <c r="R262" s="230">
        <v>45888.23</v>
      </c>
      <c r="S262" s="213">
        <f t="shared" si="190"/>
        <v>45888.23</v>
      </c>
      <c r="T262" s="216"/>
      <c r="U262" s="221"/>
      <c r="V262" s="216"/>
      <c r="W262" s="216"/>
      <c r="X262" s="216"/>
      <c r="Y262" s="213">
        <f t="shared" si="191"/>
        <v>0</v>
      </c>
      <c r="Z262" s="222" t="s">
        <v>1129</v>
      </c>
      <c r="AA262" s="228" t="s">
        <v>1160</v>
      </c>
      <c r="AB262" s="218">
        <v>44368.78888055779</v>
      </c>
      <c r="AC262" s="220"/>
      <c r="AD262" s="220"/>
      <c r="AE262" s="220" t="str">
        <f t="shared" si="192"/>
        <v/>
      </c>
      <c r="AF262" s="229"/>
      <c r="AG262" s="220" t="str">
        <f t="shared" si="193"/>
        <v>2</v>
      </c>
      <c r="AH262" s="220" t="str">
        <f t="shared" si="194"/>
        <v>1</v>
      </c>
      <c r="AI262" s="220"/>
      <c r="AJ262" s="221" t="str">
        <f t="shared" si="195"/>
        <v>1</v>
      </c>
      <c r="AK262" s="220" t="str">
        <f t="shared" si="196"/>
        <v>2.1..1</v>
      </c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</row>
    <row r="263" spans="1:61" ht="16.5" customHeight="1" outlineLevel="2">
      <c r="A263" s="207">
        <f t="shared" si="187"/>
        <v>245</v>
      </c>
      <c r="B263" s="207">
        <v>24</v>
      </c>
      <c r="C263" s="245" t="s">
        <v>1489</v>
      </c>
      <c r="D263" s="209">
        <v>37246.608948481429</v>
      </c>
      <c r="E263" s="504" t="s">
        <v>104</v>
      </c>
      <c r="F263" s="213">
        <f t="shared" si="198"/>
        <v>27535</v>
      </c>
      <c r="G263" s="207"/>
      <c r="H263" s="281">
        <f t="shared" si="188"/>
        <v>2012</v>
      </c>
      <c r="I263" s="212" t="s">
        <v>546</v>
      </c>
      <c r="J263" s="213">
        <v>27535</v>
      </c>
      <c r="K263" s="213">
        <v>0</v>
      </c>
      <c r="L263" s="213">
        <v>27535</v>
      </c>
      <c r="M263" s="213">
        <f t="shared" si="189"/>
        <v>27535</v>
      </c>
      <c r="N263" s="207"/>
      <c r="O263" s="253" t="s">
        <v>1490</v>
      </c>
      <c r="P263" s="230">
        <v>27535</v>
      </c>
      <c r="Q263" s="230">
        <v>0</v>
      </c>
      <c r="R263" s="230">
        <v>27535</v>
      </c>
      <c r="S263" s="213">
        <f t="shared" si="190"/>
        <v>27535</v>
      </c>
      <c r="T263" s="216"/>
      <c r="U263" s="221"/>
      <c r="V263" s="216"/>
      <c r="W263" s="216"/>
      <c r="X263" s="216"/>
      <c r="Y263" s="213">
        <f t="shared" si="191"/>
        <v>0</v>
      </c>
      <c r="Z263" s="222" t="s">
        <v>1129</v>
      </c>
      <c r="AA263" s="228" t="s">
        <v>1160</v>
      </c>
      <c r="AB263" s="218">
        <v>37060.974605969343</v>
      </c>
      <c r="AC263" s="220"/>
      <c r="AD263" s="220"/>
      <c r="AE263" s="220" t="str">
        <f t="shared" si="192"/>
        <v/>
      </c>
      <c r="AF263" s="229"/>
      <c r="AG263" s="220" t="str">
        <f t="shared" si="193"/>
        <v>2</v>
      </c>
      <c r="AH263" s="220" t="str">
        <f t="shared" si="194"/>
        <v>1</v>
      </c>
      <c r="AI263" s="220"/>
      <c r="AJ263" s="221" t="str">
        <f t="shared" si="195"/>
        <v>1</v>
      </c>
      <c r="AK263" s="220" t="str">
        <f t="shared" si="196"/>
        <v>2.1..1</v>
      </c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</row>
    <row r="264" spans="1:61" ht="16.5" customHeight="1" outlineLevel="2">
      <c r="A264" s="207">
        <f t="shared" si="187"/>
        <v>246</v>
      </c>
      <c r="B264" s="207">
        <v>25</v>
      </c>
      <c r="C264" s="245" t="s">
        <v>1491</v>
      </c>
      <c r="D264" s="209">
        <v>46173.978253620262</v>
      </c>
      <c r="E264" s="504" t="s">
        <v>91</v>
      </c>
      <c r="F264" s="213">
        <f t="shared" si="198"/>
        <v>27542</v>
      </c>
      <c r="G264" s="207" t="s">
        <v>1076</v>
      </c>
      <c r="H264" s="223">
        <f t="shared" si="188"/>
        <v>2021</v>
      </c>
      <c r="I264" s="248" t="s">
        <v>243</v>
      </c>
      <c r="J264" s="246"/>
      <c r="K264" s="246">
        <v>0</v>
      </c>
      <c r="L264" s="246">
        <v>27542</v>
      </c>
      <c r="M264" s="213">
        <f t="shared" si="189"/>
        <v>27542</v>
      </c>
      <c r="N264" s="207"/>
      <c r="O264" s="231"/>
      <c r="P264" s="230"/>
      <c r="Q264" s="230"/>
      <c r="R264" s="230"/>
      <c r="S264" s="213">
        <f t="shared" si="190"/>
        <v>0</v>
      </c>
      <c r="T264" s="216"/>
      <c r="U264" s="207"/>
      <c r="V264" s="216"/>
      <c r="W264" s="216"/>
      <c r="X264" s="216"/>
      <c r="Y264" s="213">
        <f t="shared" si="191"/>
        <v>0</v>
      </c>
      <c r="Z264" s="222" t="s">
        <v>1492</v>
      </c>
      <c r="AA264" s="228"/>
      <c r="AB264" s="218">
        <v>44772.040594429469</v>
      </c>
      <c r="AC264" s="220"/>
      <c r="AD264" s="220"/>
      <c r="AE264" s="220" t="str">
        <f t="shared" si="192"/>
        <v>V</v>
      </c>
      <c r="AF264" s="229"/>
      <c r="AG264" s="220" t="str">
        <f t="shared" si="193"/>
        <v>1</v>
      </c>
      <c r="AH264" s="220" t="str">
        <f t="shared" si="194"/>
        <v>1</v>
      </c>
      <c r="AI264" s="220"/>
      <c r="AJ264" s="221" t="str">
        <f t="shared" si="195"/>
        <v>2</v>
      </c>
      <c r="AK264" s="220" t="str">
        <f t="shared" si="196"/>
        <v>1.1..2</v>
      </c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</row>
    <row r="265" spans="1:61" ht="16.5" customHeight="1" outlineLevel="2">
      <c r="A265" s="207">
        <f t="shared" si="187"/>
        <v>247</v>
      </c>
      <c r="B265" s="207">
        <v>26</v>
      </c>
      <c r="C265" s="245" t="s">
        <v>1493</v>
      </c>
      <c r="D265" s="209">
        <v>50104.534118295516</v>
      </c>
      <c r="E265" s="504" t="s">
        <v>104</v>
      </c>
      <c r="F265" s="213">
        <f t="shared" si="198"/>
        <v>41523</v>
      </c>
      <c r="G265" s="207"/>
      <c r="H265" s="281">
        <f t="shared" si="188"/>
        <v>2011</v>
      </c>
      <c r="I265" s="212" t="s">
        <v>1389</v>
      </c>
      <c r="J265" s="213">
        <v>41523</v>
      </c>
      <c r="K265" s="213">
        <v>0</v>
      </c>
      <c r="L265" s="213">
        <v>41523</v>
      </c>
      <c r="M265" s="213">
        <f t="shared" si="189"/>
        <v>41523</v>
      </c>
      <c r="N265" s="207"/>
      <c r="O265" s="253" t="s">
        <v>1494</v>
      </c>
      <c r="P265" s="230">
        <v>41523</v>
      </c>
      <c r="Q265" s="230">
        <v>0</v>
      </c>
      <c r="R265" s="230">
        <v>41523</v>
      </c>
      <c r="S265" s="213">
        <f t="shared" si="190"/>
        <v>41523</v>
      </c>
      <c r="T265" s="216"/>
      <c r="U265" s="221"/>
      <c r="V265" s="216"/>
      <c r="W265" s="216"/>
      <c r="X265" s="216"/>
      <c r="Y265" s="213">
        <f t="shared" si="191"/>
        <v>0</v>
      </c>
      <c r="Z265" s="222" t="s">
        <v>1129</v>
      </c>
      <c r="AA265" s="228" t="s">
        <v>1160</v>
      </c>
      <c r="AB265" s="218">
        <v>48216.384589018067</v>
      </c>
      <c r="AC265" s="220"/>
      <c r="AD265" s="220"/>
      <c r="AE265" s="220" t="str">
        <f t="shared" si="192"/>
        <v/>
      </c>
      <c r="AF265" s="229"/>
      <c r="AG265" s="220" t="str">
        <f t="shared" si="193"/>
        <v>2</v>
      </c>
      <c r="AH265" s="220" t="str">
        <f t="shared" si="194"/>
        <v>1</v>
      </c>
      <c r="AI265" s="220"/>
      <c r="AJ265" s="221" t="str">
        <f t="shared" si="195"/>
        <v>1</v>
      </c>
      <c r="AK265" s="220" t="str">
        <f t="shared" si="196"/>
        <v>2.1..1</v>
      </c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</row>
    <row r="266" spans="1:61" ht="16.5" customHeight="1" outlineLevel="2">
      <c r="A266" s="207">
        <f t="shared" si="187"/>
        <v>248</v>
      </c>
      <c r="B266" s="207">
        <v>27</v>
      </c>
      <c r="C266" s="245" t="s">
        <v>1495</v>
      </c>
      <c r="D266" s="209">
        <v>11798.427477664341</v>
      </c>
      <c r="E266" s="504" t="s">
        <v>91</v>
      </c>
      <c r="F266" s="213">
        <f>Y266</f>
        <v>10501.64</v>
      </c>
      <c r="G266" s="207"/>
      <c r="H266" s="281">
        <f t="shared" si="188"/>
        <v>2010</v>
      </c>
      <c r="I266" s="212" t="s">
        <v>1487</v>
      </c>
      <c r="J266" s="213">
        <v>13033</v>
      </c>
      <c r="K266" s="213">
        <v>0</v>
      </c>
      <c r="L266" s="213">
        <v>13033</v>
      </c>
      <c r="M266" s="213">
        <f t="shared" si="189"/>
        <v>13033</v>
      </c>
      <c r="N266" s="207"/>
      <c r="O266" s="253"/>
      <c r="P266" s="230"/>
      <c r="Q266" s="230"/>
      <c r="R266" s="230"/>
      <c r="S266" s="213">
        <f t="shared" si="190"/>
        <v>0</v>
      </c>
      <c r="T266" s="216" t="s">
        <v>1076</v>
      </c>
      <c r="U266" s="221" t="s">
        <v>550</v>
      </c>
      <c r="V266" s="216">
        <v>10501.64</v>
      </c>
      <c r="W266" s="216">
        <v>513.84</v>
      </c>
      <c r="X266" s="216"/>
      <c r="Y266" s="213">
        <f t="shared" si="191"/>
        <v>10501.64</v>
      </c>
      <c r="Z266" s="222">
        <v>2021</v>
      </c>
      <c r="AA266" s="228"/>
      <c r="AB266" s="218">
        <v>11658.345977326968</v>
      </c>
      <c r="AC266" s="220"/>
      <c r="AD266" s="220"/>
      <c r="AE266" s="220" t="str">
        <f t="shared" si="192"/>
        <v>V</v>
      </c>
      <c r="AF266" s="229"/>
      <c r="AG266" s="220" t="str">
        <f t="shared" si="193"/>
        <v>2</v>
      </c>
      <c r="AH266" s="220" t="str">
        <f t="shared" si="194"/>
        <v>1</v>
      </c>
      <c r="AI266" s="220"/>
      <c r="AJ266" s="221" t="str">
        <f t="shared" si="195"/>
        <v>1</v>
      </c>
      <c r="AK266" s="220" t="str">
        <f t="shared" si="196"/>
        <v>2.1..1</v>
      </c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</row>
    <row r="267" spans="1:61" ht="16.5" customHeight="1" outlineLevel="2">
      <c r="A267" s="207">
        <f t="shared" si="187"/>
        <v>249</v>
      </c>
      <c r="B267" s="207">
        <v>28</v>
      </c>
      <c r="C267" s="245" t="s">
        <v>1496</v>
      </c>
      <c r="D267" s="209">
        <v>24473.447935954417</v>
      </c>
      <c r="E267" s="504" t="s">
        <v>104</v>
      </c>
      <c r="F267" s="213">
        <f t="shared" ref="F267:F270" si="199">IF(M267&gt;0,M267,IF(S267&gt;0,S267,IF(Y267&gt;0,Y267,0)))</f>
        <v>12306</v>
      </c>
      <c r="G267" s="207"/>
      <c r="H267" s="281">
        <f t="shared" si="188"/>
        <v>2012</v>
      </c>
      <c r="I267" s="212" t="s">
        <v>1497</v>
      </c>
      <c r="J267" s="213">
        <v>12306</v>
      </c>
      <c r="K267" s="213">
        <v>0</v>
      </c>
      <c r="L267" s="213">
        <v>12306</v>
      </c>
      <c r="M267" s="213">
        <f t="shared" si="189"/>
        <v>12306</v>
      </c>
      <c r="N267" s="207"/>
      <c r="O267" s="231"/>
      <c r="P267" s="230"/>
      <c r="Q267" s="230"/>
      <c r="R267" s="230"/>
      <c r="S267" s="213">
        <f t="shared" si="190"/>
        <v>0</v>
      </c>
      <c r="T267" s="216"/>
      <c r="U267" s="207"/>
      <c r="V267" s="216"/>
      <c r="W267" s="216"/>
      <c r="X267" s="216"/>
      <c r="Y267" s="213">
        <f t="shared" si="191"/>
        <v>0</v>
      </c>
      <c r="Z267" s="222" t="s">
        <v>1129</v>
      </c>
      <c r="AA267" s="228" t="s">
        <v>1160</v>
      </c>
      <c r="AB267" s="218">
        <v>25332.09000371585</v>
      </c>
      <c r="AC267" s="220"/>
      <c r="AD267" s="220"/>
      <c r="AE267" s="220" t="str">
        <f t="shared" si="192"/>
        <v/>
      </c>
      <c r="AF267" s="229"/>
      <c r="AG267" s="220" t="str">
        <f t="shared" si="193"/>
        <v>2</v>
      </c>
      <c r="AH267" s="220" t="str">
        <f t="shared" si="194"/>
        <v>1</v>
      </c>
      <c r="AI267" s="220"/>
      <c r="AJ267" s="221" t="str">
        <f t="shared" si="195"/>
        <v>2</v>
      </c>
      <c r="AK267" s="220" t="str">
        <f t="shared" si="196"/>
        <v>2.1..2</v>
      </c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</row>
    <row r="268" spans="1:61" ht="16.5" customHeight="1" outlineLevel="2">
      <c r="A268" s="207">
        <f t="shared" si="187"/>
        <v>250</v>
      </c>
      <c r="B268" s="207">
        <v>29</v>
      </c>
      <c r="C268" s="245" t="s">
        <v>1498</v>
      </c>
      <c r="D268" s="209">
        <v>35539.374430647753</v>
      </c>
      <c r="E268" s="504" t="s">
        <v>91</v>
      </c>
      <c r="F268" s="213">
        <f t="shared" si="199"/>
        <v>34117.71</v>
      </c>
      <c r="G268" s="207"/>
      <c r="H268" s="281" t="e">
        <f t="shared" si="188"/>
        <v>#VALUE!</v>
      </c>
      <c r="I268" s="212"/>
      <c r="J268" s="213"/>
      <c r="K268" s="213"/>
      <c r="L268" s="213"/>
      <c r="M268" s="213">
        <f t="shared" si="189"/>
        <v>0</v>
      </c>
      <c r="N268" s="207"/>
      <c r="O268" s="231"/>
      <c r="P268" s="230"/>
      <c r="Q268" s="230"/>
      <c r="R268" s="230"/>
      <c r="S268" s="213">
        <f t="shared" si="190"/>
        <v>0</v>
      </c>
      <c r="T268" s="216" t="s">
        <v>1076</v>
      </c>
      <c r="U268" s="518" t="s">
        <v>554</v>
      </c>
      <c r="V268" s="216">
        <v>34117.71</v>
      </c>
      <c r="W268" s="216"/>
      <c r="X268" s="216"/>
      <c r="Y268" s="213">
        <f t="shared" si="191"/>
        <v>34117.71</v>
      </c>
      <c r="Z268" s="222">
        <v>2022</v>
      </c>
      <c r="AA268" s="228"/>
      <c r="AB268" s="218">
        <v>31753.648172112691</v>
      </c>
      <c r="AC268" s="220"/>
      <c r="AD268" s="220"/>
      <c r="AE268" s="220" t="str">
        <f t="shared" si="192"/>
        <v>V</v>
      </c>
      <c r="AF268" s="229"/>
      <c r="AG268" s="220" t="e">
        <f t="shared" si="193"/>
        <v>#VALUE!</v>
      </c>
      <c r="AH268" s="220" t="str">
        <f t="shared" si="194"/>
        <v>2</v>
      </c>
      <c r="AI268" s="220"/>
      <c r="AJ268" s="221" t="str">
        <f t="shared" si="195"/>
        <v>1</v>
      </c>
      <c r="AK268" s="220" t="e">
        <f t="shared" si="196"/>
        <v>#VALUE!</v>
      </c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</row>
    <row r="269" spans="1:61" ht="16.5" customHeight="1" outlineLevel="2">
      <c r="A269" s="207">
        <f t="shared" si="187"/>
        <v>251</v>
      </c>
      <c r="B269" s="207">
        <v>30</v>
      </c>
      <c r="C269" s="245" t="s">
        <v>1499</v>
      </c>
      <c r="D269" s="209">
        <v>34937.764874785207</v>
      </c>
      <c r="E269" s="504" t="s">
        <v>104</v>
      </c>
      <c r="F269" s="213">
        <f t="shared" si="199"/>
        <v>25000</v>
      </c>
      <c r="G269" s="207"/>
      <c r="H269" s="281">
        <f t="shared" si="188"/>
        <v>2012</v>
      </c>
      <c r="I269" s="212" t="s">
        <v>315</v>
      </c>
      <c r="J269" s="213">
        <v>25000</v>
      </c>
      <c r="K269" s="213">
        <v>0</v>
      </c>
      <c r="L269" s="213">
        <v>25000</v>
      </c>
      <c r="M269" s="213">
        <f t="shared" si="189"/>
        <v>25000</v>
      </c>
      <c r="N269" s="207"/>
      <c r="O269" s="231"/>
      <c r="P269" s="230"/>
      <c r="Q269" s="230"/>
      <c r="R269" s="230"/>
      <c r="S269" s="213">
        <f t="shared" si="190"/>
        <v>0</v>
      </c>
      <c r="T269" s="216"/>
      <c r="U269" s="207"/>
      <c r="V269" s="216"/>
      <c r="W269" s="216"/>
      <c r="X269" s="216"/>
      <c r="Y269" s="213">
        <f t="shared" si="191"/>
        <v>0</v>
      </c>
      <c r="Z269" s="222" t="s">
        <v>1097</v>
      </c>
      <c r="AA269" s="228"/>
      <c r="AB269" s="218">
        <v>34600.816607725683</v>
      </c>
      <c r="AC269" s="220"/>
      <c r="AD269" s="220"/>
      <c r="AE269" s="220" t="str">
        <f t="shared" si="192"/>
        <v/>
      </c>
      <c r="AF269" s="229"/>
      <c r="AG269" s="220" t="str">
        <f t="shared" si="193"/>
        <v>2</v>
      </c>
      <c r="AH269" s="220" t="str">
        <f t="shared" si="194"/>
        <v>1</v>
      </c>
      <c r="AI269" s="220"/>
      <c r="AJ269" s="221" t="str">
        <f t="shared" si="195"/>
        <v>2</v>
      </c>
      <c r="AK269" s="220" t="str">
        <f t="shared" si="196"/>
        <v>2.1..2</v>
      </c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</row>
    <row r="270" spans="1:61" ht="16.5" customHeight="1" outlineLevel="2">
      <c r="A270" s="207">
        <f t="shared" si="187"/>
        <v>252</v>
      </c>
      <c r="B270" s="207">
        <v>31</v>
      </c>
      <c r="C270" s="245" t="s">
        <v>1500</v>
      </c>
      <c r="D270" s="209">
        <v>39771.257796014928</v>
      </c>
      <c r="E270" s="504" t="s">
        <v>91</v>
      </c>
      <c r="F270" s="213">
        <f t="shared" si="199"/>
        <v>38692</v>
      </c>
      <c r="G270" s="207"/>
      <c r="H270" s="281">
        <f t="shared" si="188"/>
        <v>2011</v>
      </c>
      <c r="I270" s="212" t="s">
        <v>631</v>
      </c>
      <c r="J270" s="213">
        <v>38692</v>
      </c>
      <c r="K270" s="213">
        <v>0</v>
      </c>
      <c r="L270" s="213">
        <v>38692</v>
      </c>
      <c r="M270" s="213">
        <f t="shared" si="189"/>
        <v>38692</v>
      </c>
      <c r="N270" s="207" t="s">
        <v>1076</v>
      </c>
      <c r="O270" s="253" t="s">
        <v>1501</v>
      </c>
      <c r="P270" s="230">
        <v>38692</v>
      </c>
      <c r="Q270" s="230">
        <v>0</v>
      </c>
      <c r="R270" s="230">
        <v>38692</v>
      </c>
      <c r="S270" s="213">
        <f t="shared" si="190"/>
        <v>38692</v>
      </c>
      <c r="T270" s="216"/>
      <c r="U270" s="221" t="s">
        <v>557</v>
      </c>
      <c r="V270" s="216">
        <v>38692</v>
      </c>
      <c r="W270" s="216">
        <v>0</v>
      </c>
      <c r="X270" s="216">
        <v>38692</v>
      </c>
      <c r="Y270" s="213">
        <f t="shared" si="191"/>
        <v>38692</v>
      </c>
      <c r="Z270" s="222">
        <v>2020</v>
      </c>
      <c r="AA270" s="228"/>
      <c r="AB270" s="218">
        <v>39344.66922785162</v>
      </c>
      <c r="AC270" s="220"/>
      <c r="AD270" s="220"/>
      <c r="AE270" s="220" t="str">
        <f t="shared" si="192"/>
        <v>V</v>
      </c>
      <c r="AF270" s="229"/>
      <c r="AG270" s="220" t="str">
        <f t="shared" si="193"/>
        <v>2</v>
      </c>
      <c r="AH270" s="220" t="str">
        <f t="shared" si="194"/>
        <v>1</v>
      </c>
      <c r="AI270" s="220"/>
      <c r="AJ270" s="221" t="str">
        <f t="shared" si="195"/>
        <v>1</v>
      </c>
      <c r="AK270" s="220" t="str">
        <f t="shared" si="196"/>
        <v>2.1..1</v>
      </c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</row>
    <row r="271" spans="1:61" ht="16.5" customHeight="1" outlineLevel="2">
      <c r="A271" s="207">
        <f t="shared" si="187"/>
        <v>253</v>
      </c>
      <c r="B271" s="207">
        <v>32</v>
      </c>
      <c r="C271" s="245" t="s">
        <v>1502</v>
      </c>
      <c r="D271" s="209">
        <v>30847.964790125472</v>
      </c>
      <c r="E271" s="504" t="s">
        <v>91</v>
      </c>
      <c r="F271" s="213">
        <f>Y271</f>
        <v>31840.04</v>
      </c>
      <c r="G271" s="207"/>
      <c r="H271" s="281">
        <f t="shared" si="188"/>
        <v>2012</v>
      </c>
      <c r="I271" s="212" t="s">
        <v>1201</v>
      </c>
      <c r="J271" s="213">
        <v>33445</v>
      </c>
      <c r="K271" s="213">
        <v>0</v>
      </c>
      <c r="L271" s="213">
        <v>33445</v>
      </c>
      <c r="M271" s="213">
        <f t="shared" si="189"/>
        <v>33445</v>
      </c>
      <c r="N271" s="207"/>
      <c r="O271" s="231"/>
      <c r="P271" s="230"/>
      <c r="Q271" s="230"/>
      <c r="R271" s="230"/>
      <c r="S271" s="213">
        <f t="shared" si="190"/>
        <v>0</v>
      </c>
      <c r="T271" s="216" t="s">
        <v>1076</v>
      </c>
      <c r="U271" s="227" t="s">
        <v>559</v>
      </c>
      <c r="V271" s="216">
        <v>26304.83</v>
      </c>
      <c r="W271" s="216">
        <v>5535.21</v>
      </c>
      <c r="X271" s="216">
        <v>31840.04</v>
      </c>
      <c r="Y271" s="213">
        <f t="shared" si="191"/>
        <v>31840.04</v>
      </c>
      <c r="Z271" s="222">
        <v>2022</v>
      </c>
      <c r="AA271" s="228"/>
      <c r="AB271" s="218">
        <v>31603.114724540254</v>
      </c>
      <c r="AC271" s="220"/>
      <c r="AD271" s="220"/>
      <c r="AE271" s="220" t="str">
        <f t="shared" si="192"/>
        <v>V</v>
      </c>
      <c r="AF271" s="229"/>
      <c r="AG271" s="220" t="str">
        <f t="shared" si="193"/>
        <v>2</v>
      </c>
      <c r="AH271" s="220" t="str">
        <f t="shared" si="194"/>
        <v>1</v>
      </c>
      <c r="AI271" s="220"/>
      <c r="AJ271" s="221" t="str">
        <f t="shared" si="195"/>
        <v>1</v>
      </c>
      <c r="AK271" s="220" t="str">
        <f t="shared" si="196"/>
        <v>2.1..1</v>
      </c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</row>
    <row r="272" spans="1:61" ht="16.5" customHeight="1" outlineLevel="2">
      <c r="A272" s="207">
        <f t="shared" si="187"/>
        <v>254</v>
      </c>
      <c r="B272" s="207">
        <v>33</v>
      </c>
      <c r="C272" s="245" t="s">
        <v>1503</v>
      </c>
      <c r="D272" s="209">
        <v>23093.014263077734</v>
      </c>
      <c r="E272" s="504" t="s">
        <v>661</v>
      </c>
      <c r="F272" s="213">
        <f>IF(M272&gt;0,M272,IF(S272&gt;0,S272,IF(Y272&gt;0,Y272,0)))</f>
        <v>0</v>
      </c>
      <c r="G272" s="207"/>
      <c r="H272" s="281" t="e">
        <f t="shared" si="188"/>
        <v>#VALUE!</v>
      </c>
      <c r="I272" s="212"/>
      <c r="J272" s="213"/>
      <c r="K272" s="213"/>
      <c r="L272" s="213"/>
      <c r="M272" s="213">
        <f t="shared" si="189"/>
        <v>0</v>
      </c>
      <c r="N272" s="207"/>
      <c r="O272" s="231"/>
      <c r="P272" s="230"/>
      <c r="Q272" s="230"/>
      <c r="R272" s="230"/>
      <c r="S272" s="213">
        <f t="shared" si="190"/>
        <v>0</v>
      </c>
      <c r="T272" s="216"/>
      <c r="U272" s="207"/>
      <c r="V272" s="216"/>
      <c r="W272" s="216"/>
      <c r="X272" s="216"/>
      <c r="Y272" s="213">
        <f t="shared" si="191"/>
        <v>0</v>
      </c>
      <c r="Z272" s="222" t="s">
        <v>1129</v>
      </c>
      <c r="AA272" s="228" t="s">
        <v>1160</v>
      </c>
      <c r="AB272" s="218">
        <v>17804.583499116234</v>
      </c>
      <c r="AC272" s="220"/>
      <c r="AD272" s="220"/>
      <c r="AE272" s="220" t="str">
        <f t="shared" si="192"/>
        <v/>
      </c>
      <c r="AF272" s="229"/>
      <c r="AG272" s="220" t="e">
        <f t="shared" si="193"/>
        <v>#VALUE!</v>
      </c>
      <c r="AH272" s="220" t="str">
        <f t="shared" si="194"/>
        <v>2</v>
      </c>
      <c r="AI272" s="220"/>
      <c r="AJ272" s="221" t="str">
        <f t="shared" si="195"/>
        <v>2</v>
      </c>
      <c r="AK272" s="220" t="e">
        <f t="shared" si="196"/>
        <v>#VALUE!</v>
      </c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</row>
    <row r="273" spans="1:61" ht="16.5" customHeight="1" outlineLevel="2">
      <c r="A273" s="207">
        <f t="shared" si="187"/>
        <v>255</v>
      </c>
      <c r="B273" s="207">
        <v>34</v>
      </c>
      <c r="C273" s="245" t="s">
        <v>1504</v>
      </c>
      <c r="D273" s="209">
        <v>32815.397656606321</v>
      </c>
      <c r="E273" s="504" t="s">
        <v>91</v>
      </c>
      <c r="F273" s="213">
        <f t="shared" ref="F273:F274" si="200">Y273</f>
        <v>33880.639999999999</v>
      </c>
      <c r="G273" s="207"/>
      <c r="H273" s="281">
        <f t="shared" si="188"/>
        <v>2013</v>
      </c>
      <c r="I273" s="212" t="s">
        <v>1505</v>
      </c>
      <c r="J273" s="213">
        <v>30032</v>
      </c>
      <c r="K273" s="213">
        <v>0</v>
      </c>
      <c r="L273" s="213">
        <v>30032</v>
      </c>
      <c r="M273" s="213">
        <f t="shared" si="189"/>
        <v>30032</v>
      </c>
      <c r="N273" s="207"/>
      <c r="O273" s="253" t="s">
        <v>787</v>
      </c>
      <c r="P273" s="230">
        <v>30032</v>
      </c>
      <c r="Q273" s="230">
        <v>0</v>
      </c>
      <c r="R273" s="230">
        <v>30032</v>
      </c>
      <c r="S273" s="213">
        <f t="shared" si="190"/>
        <v>30032</v>
      </c>
      <c r="T273" s="216" t="s">
        <v>1076</v>
      </c>
      <c r="U273" s="521" t="s">
        <v>562</v>
      </c>
      <c r="V273" s="216">
        <v>33880.639999999999</v>
      </c>
      <c r="W273" s="216"/>
      <c r="X273" s="216"/>
      <c r="Y273" s="213">
        <f t="shared" si="191"/>
        <v>33880.639999999999</v>
      </c>
      <c r="Z273" s="222">
        <v>2022</v>
      </c>
      <c r="AA273" s="228"/>
      <c r="AB273" s="218">
        <v>32325.350922523226</v>
      </c>
      <c r="AC273" s="220"/>
      <c r="AD273" s="220"/>
      <c r="AE273" s="220" t="str">
        <f t="shared" si="192"/>
        <v>V</v>
      </c>
      <c r="AF273" s="229"/>
      <c r="AG273" s="220" t="str">
        <f t="shared" si="193"/>
        <v>2</v>
      </c>
      <c r="AH273" s="220" t="str">
        <f t="shared" si="194"/>
        <v>1</v>
      </c>
      <c r="AI273" s="220"/>
      <c r="AJ273" s="221" t="str">
        <f t="shared" si="195"/>
        <v>1</v>
      </c>
      <c r="AK273" s="220" t="str">
        <f t="shared" si="196"/>
        <v>2.1..1</v>
      </c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</row>
    <row r="274" spans="1:61" ht="16.5" customHeight="1" outlineLevel="2">
      <c r="A274" s="207">
        <f t="shared" si="187"/>
        <v>256</v>
      </c>
      <c r="B274" s="207">
        <v>35</v>
      </c>
      <c r="C274" s="245" t="s">
        <v>1506</v>
      </c>
      <c r="D274" s="209">
        <v>35543.437153677616</v>
      </c>
      <c r="E274" s="504" t="s">
        <v>91</v>
      </c>
      <c r="F274" s="213">
        <f t="shared" si="200"/>
        <v>31070.74</v>
      </c>
      <c r="G274" s="207"/>
      <c r="H274" s="281">
        <f t="shared" si="188"/>
        <v>2013</v>
      </c>
      <c r="I274" s="212" t="s">
        <v>1507</v>
      </c>
      <c r="J274" s="213">
        <v>20860.2</v>
      </c>
      <c r="K274" s="213">
        <v>0</v>
      </c>
      <c r="L274" s="213">
        <v>20860.2</v>
      </c>
      <c r="M274" s="213">
        <f t="shared" si="189"/>
        <v>20860.2</v>
      </c>
      <c r="N274" s="207"/>
      <c r="O274" s="253" t="s">
        <v>1508</v>
      </c>
      <c r="P274" s="230">
        <v>20860.2</v>
      </c>
      <c r="Q274" s="230">
        <v>10210.540000000001</v>
      </c>
      <c r="R274" s="230">
        <v>31070.74</v>
      </c>
      <c r="S274" s="213">
        <f t="shared" si="190"/>
        <v>31070.74</v>
      </c>
      <c r="T274" s="216" t="s">
        <v>1076</v>
      </c>
      <c r="U274" s="517" t="s">
        <v>564</v>
      </c>
      <c r="V274" s="216">
        <v>20860.2</v>
      </c>
      <c r="W274" s="216">
        <v>10210.540000000001</v>
      </c>
      <c r="X274" s="216">
        <v>31070.74</v>
      </c>
      <c r="Y274" s="213">
        <f t="shared" si="191"/>
        <v>31070.74</v>
      </c>
      <c r="Z274" s="222">
        <v>2021</v>
      </c>
      <c r="AA274" s="228"/>
      <c r="AB274" s="218">
        <v>35479.006882234135</v>
      </c>
      <c r="AC274" s="220"/>
      <c r="AD274" s="220"/>
      <c r="AE274" s="220" t="str">
        <f t="shared" si="192"/>
        <v>V</v>
      </c>
      <c r="AF274" s="229"/>
      <c r="AG274" s="220" t="str">
        <f t="shared" si="193"/>
        <v>2</v>
      </c>
      <c r="AH274" s="220" t="str">
        <f t="shared" si="194"/>
        <v>1</v>
      </c>
      <c r="AI274" s="220"/>
      <c r="AJ274" s="221" t="str">
        <f t="shared" si="195"/>
        <v>1</v>
      </c>
      <c r="AK274" s="220" t="str">
        <f t="shared" si="196"/>
        <v>2.1..1</v>
      </c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</row>
    <row r="275" spans="1:61" ht="16.5" customHeight="1" outlineLevel="2">
      <c r="A275" s="207">
        <f t="shared" si="187"/>
        <v>257</v>
      </c>
      <c r="B275" s="207">
        <v>36</v>
      </c>
      <c r="C275" s="245" t="s">
        <v>1509</v>
      </c>
      <c r="D275" s="209">
        <v>12048.140924986597</v>
      </c>
      <c r="E275" s="504" t="s">
        <v>91</v>
      </c>
      <c r="F275" s="213">
        <f t="shared" ref="F275:F276" si="201">IF(M275&gt;0,M275,IF(S275&gt;0,S275,IF(Y275&gt;0,Y275,0)))</f>
        <v>12785</v>
      </c>
      <c r="G275" s="207"/>
      <c r="H275" s="281">
        <f t="shared" si="188"/>
        <v>2012</v>
      </c>
      <c r="I275" s="212" t="s">
        <v>1256</v>
      </c>
      <c r="J275" s="213">
        <v>12785</v>
      </c>
      <c r="K275" s="213">
        <v>0</v>
      </c>
      <c r="L275" s="213">
        <v>12785</v>
      </c>
      <c r="M275" s="213">
        <f t="shared" si="189"/>
        <v>12785</v>
      </c>
      <c r="N275" s="207" t="s">
        <v>1076</v>
      </c>
      <c r="O275" s="253" t="s">
        <v>1510</v>
      </c>
      <c r="P275" s="230">
        <v>12785</v>
      </c>
      <c r="Q275" s="230">
        <v>0</v>
      </c>
      <c r="R275" s="230">
        <v>12785</v>
      </c>
      <c r="S275" s="213">
        <f t="shared" si="190"/>
        <v>12785</v>
      </c>
      <c r="T275" s="216"/>
      <c r="U275" s="221"/>
      <c r="V275" s="216"/>
      <c r="W275" s="216"/>
      <c r="X275" s="216"/>
      <c r="Y275" s="213">
        <f t="shared" si="191"/>
        <v>0</v>
      </c>
      <c r="Z275" s="222">
        <v>2020</v>
      </c>
      <c r="AA275" s="228"/>
      <c r="AB275" s="218">
        <v>11756.90985441619</v>
      </c>
      <c r="AC275" s="220"/>
      <c r="AD275" s="220"/>
      <c r="AE275" s="220" t="str">
        <f t="shared" si="192"/>
        <v>V</v>
      </c>
      <c r="AF275" s="229"/>
      <c r="AG275" s="220" t="str">
        <f t="shared" si="193"/>
        <v>2</v>
      </c>
      <c r="AH275" s="220" t="str">
        <f t="shared" si="194"/>
        <v>1</v>
      </c>
      <c r="AI275" s="220"/>
      <c r="AJ275" s="221" t="str">
        <f t="shared" si="195"/>
        <v>1</v>
      </c>
      <c r="AK275" s="220" t="str">
        <f t="shared" si="196"/>
        <v>2.1..1</v>
      </c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</row>
    <row r="276" spans="1:61" ht="16.5" customHeight="1" outlineLevel="2">
      <c r="A276" s="207">
        <f t="shared" si="187"/>
        <v>258</v>
      </c>
      <c r="B276" s="207">
        <v>37</v>
      </c>
      <c r="C276" s="245" t="s">
        <v>1511</v>
      </c>
      <c r="D276" s="209">
        <v>66534.047483618036</v>
      </c>
      <c r="E276" s="504" t="s">
        <v>91</v>
      </c>
      <c r="F276" s="213">
        <f t="shared" si="201"/>
        <v>75610</v>
      </c>
      <c r="G276" s="207" t="s">
        <v>1076</v>
      </c>
      <c r="H276" s="223">
        <f t="shared" si="188"/>
        <v>2020</v>
      </c>
      <c r="I276" s="248" t="s">
        <v>568</v>
      </c>
      <c r="J276" s="246">
        <v>0</v>
      </c>
      <c r="K276" s="246">
        <v>0</v>
      </c>
      <c r="L276" s="246">
        <v>75610</v>
      </c>
      <c r="M276" s="213">
        <f t="shared" si="189"/>
        <v>75610</v>
      </c>
      <c r="N276" s="207"/>
      <c r="O276" s="231"/>
      <c r="P276" s="230"/>
      <c r="Q276" s="230"/>
      <c r="R276" s="230"/>
      <c r="S276" s="213">
        <f t="shared" si="190"/>
        <v>0</v>
      </c>
      <c r="T276" s="216"/>
      <c r="U276" s="207"/>
      <c r="V276" s="216"/>
      <c r="W276" s="216"/>
      <c r="X276" s="216"/>
      <c r="Y276" s="213">
        <f t="shared" si="191"/>
        <v>0</v>
      </c>
      <c r="Z276" s="222">
        <v>2020</v>
      </c>
      <c r="AA276" s="228"/>
      <c r="AB276" s="218">
        <v>65465.86408506702</v>
      </c>
      <c r="AC276" s="220"/>
      <c r="AD276" s="220"/>
      <c r="AE276" s="220" t="str">
        <f t="shared" si="192"/>
        <v>V</v>
      </c>
      <c r="AF276" s="229"/>
      <c r="AG276" s="220" t="str">
        <f t="shared" si="193"/>
        <v>1</v>
      </c>
      <c r="AH276" s="220" t="str">
        <f t="shared" si="194"/>
        <v>1</v>
      </c>
      <c r="AI276" s="220"/>
      <c r="AJ276" s="221" t="str">
        <f t="shared" si="195"/>
        <v>2</v>
      </c>
      <c r="AK276" s="220" t="str">
        <f t="shared" si="196"/>
        <v>1.1..2</v>
      </c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</row>
    <row r="277" spans="1:61" ht="16.5" customHeight="1" outlineLevel="2">
      <c r="A277" s="207">
        <f t="shared" si="187"/>
        <v>259</v>
      </c>
      <c r="B277" s="207">
        <v>38</v>
      </c>
      <c r="C277" s="245" t="s">
        <v>1512</v>
      </c>
      <c r="D277" s="209">
        <v>25414.793583192779</v>
      </c>
      <c r="E277" s="504" t="s">
        <v>91</v>
      </c>
      <c r="F277" s="213">
        <f>Y277</f>
        <v>16296.91</v>
      </c>
      <c r="G277" s="207"/>
      <c r="H277" s="281">
        <f t="shared" si="188"/>
        <v>2012</v>
      </c>
      <c r="I277" s="212" t="s">
        <v>323</v>
      </c>
      <c r="J277" s="213">
        <v>26000</v>
      </c>
      <c r="K277" s="213">
        <v>0</v>
      </c>
      <c r="L277" s="213">
        <v>26000</v>
      </c>
      <c r="M277" s="213">
        <f t="shared" si="189"/>
        <v>26000</v>
      </c>
      <c r="N277" s="207"/>
      <c r="O277" s="253" t="s">
        <v>1513</v>
      </c>
      <c r="P277" s="230">
        <v>0</v>
      </c>
      <c r="Q277" s="230">
        <v>0</v>
      </c>
      <c r="R277" s="230">
        <v>0</v>
      </c>
      <c r="S277" s="213">
        <f t="shared" si="190"/>
        <v>0</v>
      </c>
      <c r="T277" s="216" t="s">
        <v>1076</v>
      </c>
      <c r="U277" s="517" t="s">
        <v>570</v>
      </c>
      <c r="V277" s="216">
        <v>15296.26</v>
      </c>
      <c r="W277" s="216">
        <v>1630.65</v>
      </c>
      <c r="X277" s="216">
        <v>16296.91</v>
      </c>
      <c r="Y277" s="213">
        <f t="shared" si="191"/>
        <v>16296.91</v>
      </c>
      <c r="Z277" s="222">
        <v>2021</v>
      </c>
      <c r="AA277" s="228"/>
      <c r="AB277" s="218">
        <v>23740.523947601025</v>
      </c>
      <c r="AC277" s="220"/>
      <c r="AD277" s="220"/>
      <c r="AE277" s="220" t="str">
        <f t="shared" si="192"/>
        <v>V</v>
      </c>
      <c r="AF277" s="229"/>
      <c r="AG277" s="220" t="str">
        <f t="shared" si="193"/>
        <v>2</v>
      </c>
      <c r="AH277" s="220" t="str">
        <f t="shared" si="194"/>
        <v>1</v>
      </c>
      <c r="AI277" s="220"/>
      <c r="AJ277" s="221" t="str">
        <f t="shared" si="195"/>
        <v>1</v>
      </c>
      <c r="AK277" s="220" t="str">
        <f t="shared" si="196"/>
        <v>2.1..1</v>
      </c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</row>
    <row r="278" spans="1:61" ht="16.5" customHeight="1" outlineLevel="1">
      <c r="A278" s="207"/>
      <c r="B278" s="201"/>
      <c r="C278" s="249" t="s">
        <v>1514</v>
      </c>
      <c r="D278" s="250"/>
      <c r="E278" s="238">
        <f>COUNTIF(E240:E277,"D") + COUNTIF(E240:E277,"DS")</f>
        <v>35</v>
      </c>
      <c r="F278" s="254">
        <f>SUBTOTAL(9,F240:F277)</f>
        <v>994987.56000000017</v>
      </c>
      <c r="G278" s="201">
        <f>COUNTIF(G240:G277,N245)</f>
        <v>6</v>
      </c>
      <c r="H278" s="240"/>
      <c r="I278" s="264"/>
      <c r="J278" s="254">
        <f t="shared" ref="J278:S278" si="202">SUBTOTAL(9,J240:J277)</f>
        <v>742855.92999999993</v>
      </c>
      <c r="K278" s="254">
        <f t="shared" si="202"/>
        <v>0</v>
      </c>
      <c r="L278" s="254">
        <f t="shared" si="202"/>
        <v>891959.92999999993</v>
      </c>
      <c r="M278" s="254">
        <f t="shared" si="202"/>
        <v>891959.92999999993</v>
      </c>
      <c r="N278" s="254">
        <f t="shared" si="202"/>
        <v>0</v>
      </c>
      <c r="O278" s="254">
        <f t="shared" si="202"/>
        <v>0</v>
      </c>
      <c r="P278" s="254">
        <f t="shared" si="202"/>
        <v>409369.21</v>
      </c>
      <c r="Q278" s="254">
        <f t="shared" si="202"/>
        <v>16061.54</v>
      </c>
      <c r="R278" s="254">
        <f t="shared" si="202"/>
        <v>381262.75</v>
      </c>
      <c r="S278" s="254">
        <f t="shared" si="202"/>
        <v>419579.75</v>
      </c>
      <c r="T278" s="242">
        <v>4</v>
      </c>
      <c r="U278" s="242">
        <v>5</v>
      </c>
      <c r="V278" s="242">
        <f t="shared" ref="V278:Y278" si="203">SUBTOTAL(9,V240:V277)</f>
        <v>391180.12000000011</v>
      </c>
      <c r="W278" s="242">
        <f t="shared" si="203"/>
        <v>29271.510000000002</v>
      </c>
      <c r="X278" s="242">
        <f t="shared" si="203"/>
        <v>297839.92</v>
      </c>
      <c r="Y278" s="254">
        <f t="shared" si="203"/>
        <v>414656.91</v>
      </c>
      <c r="Z278" s="243" t="s">
        <v>1138</v>
      </c>
      <c r="AA278" s="228"/>
      <c r="AB278" s="218">
        <f>SUM(AB240:AB277)</f>
        <v>1194054.3891268456</v>
      </c>
      <c r="AC278" s="220"/>
      <c r="AD278" s="220"/>
      <c r="AE278" s="244">
        <f>COUNTIF(AE240:AE277,"V") + COUNTIF(AE240:AE277,"VV") + COUNTIF(AE240:AE277,"VVV")</f>
        <v>21</v>
      </c>
      <c r="AF278" s="229"/>
      <c r="AG278" s="220"/>
      <c r="AH278" s="220"/>
      <c r="AI278" s="220"/>
      <c r="AJ278" s="221"/>
      <c r="AK278" s="220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</row>
    <row r="279" spans="1:61" ht="16.5" customHeight="1" outlineLevel="2">
      <c r="A279" s="207">
        <f t="shared" ref="A279:A286" si="204">SUBTOTAL(3,$B$6:B279)</f>
        <v>260</v>
      </c>
      <c r="B279" s="207">
        <v>1</v>
      </c>
      <c r="C279" s="245" t="s">
        <v>1515</v>
      </c>
      <c r="D279" s="209">
        <v>1690.7821386697183</v>
      </c>
      <c r="E279" s="504" t="s">
        <v>91</v>
      </c>
      <c r="F279" s="213">
        <f t="shared" ref="F279:F282" si="205">IF(M279&gt;0,M279,IF(S279&gt;0,S279,IF(Y279&gt;0,Y279,0)))</f>
        <v>469</v>
      </c>
      <c r="G279" s="207" t="s">
        <v>1076</v>
      </c>
      <c r="H279" s="223">
        <f t="shared" ref="H279:H286" si="206">VALUE(RIGHT(I279,4))</f>
        <v>2020</v>
      </c>
      <c r="I279" s="248" t="s">
        <v>262</v>
      </c>
      <c r="J279" s="246">
        <v>0</v>
      </c>
      <c r="K279" s="246">
        <v>0</v>
      </c>
      <c r="L279" s="246">
        <v>469</v>
      </c>
      <c r="M279" s="213">
        <f t="shared" ref="M279:M286" si="207">IF(L279&gt;0,L279,IF(J279&gt;0,J279,0))</f>
        <v>469</v>
      </c>
      <c r="N279" s="298"/>
      <c r="O279" s="231"/>
      <c r="P279" s="230"/>
      <c r="Q279" s="230"/>
      <c r="R279" s="230"/>
      <c r="S279" s="213">
        <f t="shared" ref="S279:S286" si="208">IF(R279&gt;0,R279,IF(P279&gt;0,P279,0))</f>
        <v>0</v>
      </c>
      <c r="T279" s="216"/>
      <c r="U279" s="207"/>
      <c r="V279" s="216"/>
      <c r="W279" s="216"/>
      <c r="X279" s="216"/>
      <c r="Y279" s="213">
        <f t="shared" ref="Y279:Y286" si="209">IF(X279&gt;0,X279,IF(V279&gt;0,V279,0))</f>
        <v>0</v>
      </c>
      <c r="Z279" s="222">
        <v>2020</v>
      </c>
      <c r="AA279" s="228"/>
      <c r="AB279" s="218">
        <v>1393.0312050563846</v>
      </c>
      <c r="AC279" s="220"/>
      <c r="AD279" s="220"/>
      <c r="AE279" s="220" t="str">
        <f t="shared" ref="AE279:AE286" si="210">CONCATENATE(G279,N279,T279)</f>
        <v>V</v>
      </c>
      <c r="AF279" s="229"/>
      <c r="AG279" s="220" t="str">
        <f t="shared" ref="AG279:AG286" si="211">IF(H279=0,"3",IF(H279&lt;=2018,"2","1"))</f>
        <v>1</v>
      </c>
      <c r="AH279" s="220" t="str">
        <f t="shared" ref="AH279:AH286" si="212">IF(M279&gt;0,"1","2")</f>
        <v>1</v>
      </c>
      <c r="AI279" s="220"/>
      <c r="AJ279" s="221" t="str">
        <f t="shared" ref="AJ279:AJ286" si="213">IF(S279&gt;0,"1",IF(Y279&gt;0,"1","2"))</f>
        <v>2</v>
      </c>
      <c r="AK279" s="220" t="str">
        <f t="shared" ref="AK279:AK286" si="214">CONCATENATE(AG279,".",AH279,".",AI279,".",AJ279)</f>
        <v>1.1..2</v>
      </c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</row>
    <row r="280" spans="1:61" ht="16.5" customHeight="1" outlineLevel="2">
      <c r="A280" s="207">
        <f t="shared" si="204"/>
        <v>261</v>
      </c>
      <c r="B280" s="207">
        <v>2</v>
      </c>
      <c r="C280" s="245" t="s">
        <v>1516</v>
      </c>
      <c r="D280" s="209">
        <v>8475.3453568485402</v>
      </c>
      <c r="E280" s="504" t="s">
        <v>91</v>
      </c>
      <c r="F280" s="213">
        <f t="shared" si="205"/>
        <v>3054</v>
      </c>
      <c r="G280" s="207" t="s">
        <v>1076</v>
      </c>
      <c r="H280" s="223">
        <f t="shared" si="206"/>
        <v>2020</v>
      </c>
      <c r="I280" s="248" t="s">
        <v>248</v>
      </c>
      <c r="J280" s="246">
        <v>3022</v>
      </c>
      <c r="K280" s="246">
        <v>0</v>
      </c>
      <c r="L280" s="246">
        <v>3054</v>
      </c>
      <c r="M280" s="213">
        <f t="shared" si="207"/>
        <v>3054</v>
      </c>
      <c r="N280" s="207"/>
      <c r="O280" s="253" t="s">
        <v>1517</v>
      </c>
      <c r="P280" s="230">
        <v>3022</v>
      </c>
      <c r="Q280" s="230">
        <v>0</v>
      </c>
      <c r="R280" s="230">
        <v>0</v>
      </c>
      <c r="S280" s="213">
        <f t="shared" si="208"/>
        <v>3022</v>
      </c>
      <c r="T280" s="216"/>
      <c r="U280" s="221"/>
      <c r="V280" s="216"/>
      <c r="W280" s="216"/>
      <c r="X280" s="216"/>
      <c r="Y280" s="213">
        <f t="shared" si="209"/>
        <v>0</v>
      </c>
      <c r="Z280" s="222">
        <v>2020</v>
      </c>
      <c r="AA280" s="228"/>
      <c r="AB280" s="218">
        <v>7612.4995598744035</v>
      </c>
      <c r="AC280" s="220"/>
      <c r="AD280" s="220"/>
      <c r="AE280" s="220" t="str">
        <f t="shared" si="210"/>
        <v>V</v>
      </c>
      <c r="AF280" s="229"/>
      <c r="AG280" s="220" t="str">
        <f t="shared" si="211"/>
        <v>1</v>
      </c>
      <c r="AH280" s="220" t="str">
        <f t="shared" si="212"/>
        <v>1</v>
      </c>
      <c r="AI280" s="220"/>
      <c r="AJ280" s="221" t="str">
        <f t="shared" si="213"/>
        <v>1</v>
      </c>
      <c r="AK280" s="220" t="str">
        <f t="shared" si="214"/>
        <v>1.1..1</v>
      </c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</row>
    <row r="281" spans="1:61" ht="16.5" customHeight="1" outlineLevel="2">
      <c r="A281" s="207">
        <f t="shared" si="204"/>
        <v>262</v>
      </c>
      <c r="B281" s="207">
        <v>3</v>
      </c>
      <c r="C281" s="245" t="s">
        <v>1518</v>
      </c>
      <c r="D281" s="209">
        <v>1142.6688342999996</v>
      </c>
      <c r="E281" s="504" t="s">
        <v>661</v>
      </c>
      <c r="F281" s="213">
        <f t="shared" si="205"/>
        <v>0</v>
      </c>
      <c r="G281" s="207"/>
      <c r="H281" s="223" t="e">
        <f t="shared" si="206"/>
        <v>#VALUE!</v>
      </c>
      <c r="I281" s="248"/>
      <c r="J281" s="246"/>
      <c r="K281" s="246"/>
      <c r="L281" s="246"/>
      <c r="M281" s="213">
        <f t="shared" si="207"/>
        <v>0</v>
      </c>
      <c r="N281" s="207"/>
      <c r="O281" s="253"/>
      <c r="P281" s="230"/>
      <c r="Q281" s="230"/>
      <c r="R281" s="230"/>
      <c r="S281" s="213">
        <f t="shared" si="208"/>
        <v>0</v>
      </c>
      <c r="T281" s="216"/>
      <c r="U281" s="221"/>
      <c r="V281" s="216"/>
      <c r="W281" s="216"/>
      <c r="X281" s="216"/>
      <c r="Y281" s="213">
        <f t="shared" si="209"/>
        <v>0</v>
      </c>
      <c r="Z281" s="222" t="s">
        <v>1097</v>
      </c>
      <c r="AA281" s="228"/>
      <c r="AB281" s="218">
        <v>270.41855949785412</v>
      </c>
      <c r="AC281" s="220"/>
      <c r="AD281" s="220"/>
      <c r="AE281" s="220" t="str">
        <f t="shared" si="210"/>
        <v/>
      </c>
      <c r="AF281" s="229"/>
      <c r="AG281" s="220" t="e">
        <f t="shared" si="211"/>
        <v>#VALUE!</v>
      </c>
      <c r="AH281" s="220" t="str">
        <f t="shared" si="212"/>
        <v>2</v>
      </c>
      <c r="AI281" s="220"/>
      <c r="AJ281" s="221" t="str">
        <f t="shared" si="213"/>
        <v>2</v>
      </c>
      <c r="AK281" s="220" t="e">
        <f t="shared" si="214"/>
        <v>#VALUE!</v>
      </c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</row>
    <row r="282" spans="1:61" ht="16.5" customHeight="1" outlineLevel="2">
      <c r="A282" s="207">
        <f t="shared" si="204"/>
        <v>263</v>
      </c>
      <c r="B282" s="207">
        <v>4</v>
      </c>
      <c r="C282" s="245" t="s">
        <v>1519</v>
      </c>
      <c r="D282" s="209">
        <v>238.12782510000002</v>
      </c>
      <c r="E282" s="504" t="s">
        <v>661</v>
      </c>
      <c r="F282" s="213">
        <f t="shared" si="205"/>
        <v>0</v>
      </c>
      <c r="G282" s="207"/>
      <c r="H282" s="223" t="e">
        <f t="shared" si="206"/>
        <v>#VALUE!</v>
      </c>
      <c r="I282" s="248"/>
      <c r="J282" s="246"/>
      <c r="K282" s="246"/>
      <c r="L282" s="246"/>
      <c r="M282" s="213">
        <f t="shared" si="207"/>
        <v>0</v>
      </c>
      <c r="N282" s="207"/>
      <c r="O282" s="253"/>
      <c r="P282" s="230"/>
      <c r="Q282" s="230"/>
      <c r="R282" s="230"/>
      <c r="S282" s="213">
        <f t="shared" si="208"/>
        <v>0</v>
      </c>
      <c r="T282" s="216"/>
      <c r="U282" s="221"/>
      <c r="V282" s="216"/>
      <c r="W282" s="216"/>
      <c r="X282" s="216"/>
      <c r="Y282" s="213">
        <f t="shared" si="209"/>
        <v>0</v>
      </c>
      <c r="Z282" s="222" t="s">
        <v>1097</v>
      </c>
      <c r="AA282" s="228"/>
      <c r="AB282" s="218">
        <v>0</v>
      </c>
      <c r="AC282" s="220"/>
      <c r="AD282" s="220"/>
      <c r="AE282" s="220" t="str">
        <f t="shared" si="210"/>
        <v/>
      </c>
      <c r="AF282" s="229"/>
      <c r="AG282" s="220" t="e">
        <f t="shared" si="211"/>
        <v>#VALUE!</v>
      </c>
      <c r="AH282" s="220" t="str">
        <f t="shared" si="212"/>
        <v>2</v>
      </c>
      <c r="AI282" s="220"/>
      <c r="AJ282" s="221" t="str">
        <f t="shared" si="213"/>
        <v>2</v>
      </c>
      <c r="AK282" s="220" t="e">
        <f t="shared" si="214"/>
        <v>#VALUE!</v>
      </c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</row>
    <row r="283" spans="1:61" ht="16.5" customHeight="1" outlineLevel="2">
      <c r="A283" s="207">
        <f t="shared" si="204"/>
        <v>264</v>
      </c>
      <c r="B283" s="207">
        <v>5</v>
      </c>
      <c r="C283" s="245" t="s">
        <v>1520</v>
      </c>
      <c r="D283" s="209">
        <v>51296.922502830173</v>
      </c>
      <c r="E283" s="504" t="s">
        <v>91</v>
      </c>
      <c r="F283" s="213">
        <f>S283</f>
        <v>27944.09</v>
      </c>
      <c r="G283" s="207"/>
      <c r="H283" s="281">
        <f t="shared" si="206"/>
        <v>2014</v>
      </c>
      <c r="I283" s="212" t="s">
        <v>1225</v>
      </c>
      <c r="J283" s="213">
        <v>40170</v>
      </c>
      <c r="K283" s="213">
        <v>0</v>
      </c>
      <c r="L283" s="213">
        <v>40170</v>
      </c>
      <c r="M283" s="213">
        <f t="shared" si="207"/>
        <v>40170</v>
      </c>
      <c r="N283" s="207" t="s">
        <v>1076</v>
      </c>
      <c r="O283" s="253" t="s">
        <v>1521</v>
      </c>
      <c r="P283" s="230">
        <v>25588.46</v>
      </c>
      <c r="Q283" s="230">
        <v>2355.63</v>
      </c>
      <c r="R283" s="230">
        <v>27944.09</v>
      </c>
      <c r="S283" s="213">
        <f t="shared" si="208"/>
        <v>27944.09</v>
      </c>
      <c r="T283" s="216"/>
      <c r="U283" s="221"/>
      <c r="V283" s="216"/>
      <c r="W283" s="216"/>
      <c r="X283" s="216"/>
      <c r="Y283" s="213">
        <f t="shared" si="209"/>
        <v>0</v>
      </c>
      <c r="Z283" s="222">
        <v>2020</v>
      </c>
      <c r="AA283" s="228"/>
      <c r="AB283" s="218">
        <v>49514.726795736722</v>
      </c>
      <c r="AC283" s="220"/>
      <c r="AD283" s="220"/>
      <c r="AE283" s="220" t="str">
        <f t="shared" si="210"/>
        <v>V</v>
      </c>
      <c r="AF283" s="229"/>
      <c r="AG283" s="220" t="str">
        <f t="shared" si="211"/>
        <v>2</v>
      </c>
      <c r="AH283" s="220" t="str">
        <f t="shared" si="212"/>
        <v>1</v>
      </c>
      <c r="AI283" s="220"/>
      <c r="AJ283" s="221" t="str">
        <f t="shared" si="213"/>
        <v>1</v>
      </c>
      <c r="AK283" s="220" t="str">
        <f t="shared" si="214"/>
        <v>2.1..1</v>
      </c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</row>
    <row r="284" spans="1:61" ht="16.5" customHeight="1" outlineLevel="2">
      <c r="A284" s="207">
        <f t="shared" si="204"/>
        <v>265</v>
      </c>
      <c r="B284" s="207">
        <v>6</v>
      </c>
      <c r="C284" s="245" t="s">
        <v>1522</v>
      </c>
      <c r="D284" s="209">
        <v>52640.031897197441</v>
      </c>
      <c r="E284" s="504" t="s">
        <v>91</v>
      </c>
      <c r="F284" s="213">
        <f t="shared" ref="F284:F286" si="215">IF(M284&gt;0,M284,IF(S284&gt;0,S284,IF(Y284&gt;0,Y284,0)))</f>
        <v>45755</v>
      </c>
      <c r="G284" s="207" t="s">
        <v>1076</v>
      </c>
      <c r="H284" s="223">
        <f t="shared" si="206"/>
        <v>2020</v>
      </c>
      <c r="I284" s="248" t="s">
        <v>389</v>
      </c>
      <c r="J284" s="246">
        <v>0</v>
      </c>
      <c r="K284" s="246">
        <v>0</v>
      </c>
      <c r="L284" s="246">
        <v>45755</v>
      </c>
      <c r="M284" s="213">
        <f t="shared" si="207"/>
        <v>45755</v>
      </c>
      <c r="N284" s="298"/>
      <c r="O284" s="231"/>
      <c r="P284" s="230"/>
      <c r="Q284" s="230"/>
      <c r="R284" s="230"/>
      <c r="S284" s="213">
        <f t="shared" si="208"/>
        <v>0</v>
      </c>
      <c r="T284" s="216"/>
      <c r="U284" s="207"/>
      <c r="V284" s="216"/>
      <c r="W284" s="216"/>
      <c r="X284" s="216"/>
      <c r="Y284" s="213">
        <f t="shared" si="209"/>
        <v>0</v>
      </c>
      <c r="Z284" s="222" t="s">
        <v>1129</v>
      </c>
      <c r="AA284" s="228" t="s">
        <v>1160</v>
      </c>
      <c r="AB284" s="218">
        <v>49502.868801612967</v>
      </c>
      <c r="AC284" s="220"/>
      <c r="AD284" s="220"/>
      <c r="AE284" s="220" t="str">
        <f t="shared" si="210"/>
        <v>V</v>
      </c>
      <c r="AF284" s="229"/>
      <c r="AG284" s="220" t="str">
        <f t="shared" si="211"/>
        <v>1</v>
      </c>
      <c r="AH284" s="220" t="str">
        <f t="shared" si="212"/>
        <v>1</v>
      </c>
      <c r="AI284" s="220"/>
      <c r="AJ284" s="221" t="str">
        <f t="shared" si="213"/>
        <v>2</v>
      </c>
      <c r="AK284" s="220" t="str">
        <f t="shared" si="214"/>
        <v>1.1..2</v>
      </c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</row>
    <row r="285" spans="1:61" ht="16.5" customHeight="1" outlineLevel="2">
      <c r="A285" s="207">
        <f t="shared" si="204"/>
        <v>266</v>
      </c>
      <c r="B285" s="207">
        <v>7</v>
      </c>
      <c r="C285" s="245" t="s">
        <v>1523</v>
      </c>
      <c r="D285" s="209">
        <v>49462.563132418974</v>
      </c>
      <c r="E285" s="504" t="s">
        <v>104</v>
      </c>
      <c r="F285" s="213">
        <f t="shared" si="215"/>
        <v>32229.350000000002</v>
      </c>
      <c r="G285" s="207"/>
      <c r="H285" s="223">
        <f t="shared" si="206"/>
        <v>2020</v>
      </c>
      <c r="I285" s="248" t="s">
        <v>155</v>
      </c>
      <c r="J285" s="246">
        <v>28084.29</v>
      </c>
      <c r="K285" s="246">
        <v>0</v>
      </c>
      <c r="L285" s="246">
        <v>32229.350000000002</v>
      </c>
      <c r="M285" s="213">
        <f t="shared" si="207"/>
        <v>32229.350000000002</v>
      </c>
      <c r="N285" s="207"/>
      <c r="O285" s="231"/>
      <c r="P285" s="230"/>
      <c r="Q285" s="230"/>
      <c r="R285" s="230"/>
      <c r="S285" s="213">
        <f t="shared" si="208"/>
        <v>0</v>
      </c>
      <c r="T285" s="216"/>
      <c r="U285" s="207"/>
      <c r="V285" s="216"/>
      <c r="W285" s="216"/>
      <c r="X285" s="216"/>
      <c r="Y285" s="213">
        <f t="shared" si="209"/>
        <v>0</v>
      </c>
      <c r="Z285" s="222" t="s">
        <v>1097</v>
      </c>
      <c r="AA285" s="228"/>
      <c r="AB285" s="218">
        <v>41431.01237115937</v>
      </c>
      <c r="AC285" s="220"/>
      <c r="AD285" s="220"/>
      <c r="AE285" s="220" t="str">
        <f t="shared" si="210"/>
        <v/>
      </c>
      <c r="AF285" s="229"/>
      <c r="AG285" s="220" t="str">
        <f t="shared" si="211"/>
        <v>1</v>
      </c>
      <c r="AH285" s="220" t="str">
        <f t="shared" si="212"/>
        <v>1</v>
      </c>
      <c r="AI285" s="220"/>
      <c r="AJ285" s="221" t="str">
        <f t="shared" si="213"/>
        <v>2</v>
      </c>
      <c r="AK285" s="220" t="str">
        <f t="shared" si="214"/>
        <v>1.1..2</v>
      </c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</row>
    <row r="286" spans="1:61" ht="16.5" customHeight="1" outlineLevel="2">
      <c r="A286" s="207">
        <f t="shared" si="204"/>
        <v>267</v>
      </c>
      <c r="B286" s="207">
        <v>8</v>
      </c>
      <c r="C286" s="245" t="s">
        <v>1524</v>
      </c>
      <c r="D286" s="209">
        <v>39388.534703362435</v>
      </c>
      <c r="E286" s="504" t="s">
        <v>91</v>
      </c>
      <c r="F286" s="213">
        <f t="shared" si="215"/>
        <v>13931</v>
      </c>
      <c r="G286" s="207" t="s">
        <v>1076</v>
      </c>
      <c r="H286" s="223">
        <f t="shared" si="206"/>
        <v>2020</v>
      </c>
      <c r="I286" s="248" t="s">
        <v>392</v>
      </c>
      <c r="J286" s="246">
        <v>12628</v>
      </c>
      <c r="K286" s="246">
        <v>0</v>
      </c>
      <c r="L286" s="246">
        <v>13931</v>
      </c>
      <c r="M286" s="213">
        <f t="shared" si="207"/>
        <v>13931</v>
      </c>
      <c r="N286" s="207"/>
      <c r="O286" s="231"/>
      <c r="P286" s="230"/>
      <c r="Q286" s="230"/>
      <c r="R286" s="230"/>
      <c r="S286" s="213">
        <f t="shared" si="208"/>
        <v>0</v>
      </c>
      <c r="T286" s="216"/>
      <c r="U286" s="207"/>
      <c r="V286" s="216"/>
      <c r="W286" s="216"/>
      <c r="X286" s="216"/>
      <c r="Y286" s="213">
        <f t="shared" si="209"/>
        <v>0</v>
      </c>
      <c r="Z286" s="222">
        <v>2020</v>
      </c>
      <c r="AA286" s="228"/>
      <c r="AB286" s="218">
        <v>36273.700632473709</v>
      </c>
      <c r="AC286" s="220"/>
      <c r="AD286" s="220"/>
      <c r="AE286" s="220" t="str">
        <f t="shared" si="210"/>
        <v>V</v>
      </c>
      <c r="AF286" s="229"/>
      <c r="AG286" s="220" t="str">
        <f t="shared" si="211"/>
        <v>1</v>
      </c>
      <c r="AH286" s="220" t="str">
        <f t="shared" si="212"/>
        <v>1</v>
      </c>
      <c r="AI286" s="220"/>
      <c r="AJ286" s="221" t="str">
        <f t="shared" si="213"/>
        <v>2</v>
      </c>
      <c r="AK286" s="220" t="str">
        <f t="shared" si="214"/>
        <v>1.1..2</v>
      </c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</row>
    <row r="287" spans="1:61" ht="16.5" customHeight="1" outlineLevel="1">
      <c r="A287" s="207"/>
      <c r="B287" s="235"/>
      <c r="C287" s="249" t="s">
        <v>1525</v>
      </c>
      <c r="D287" s="250"/>
      <c r="E287" s="238">
        <f>COUNTIF(E279:E286,"D") + COUNTIF(E279:E286,"DS")</f>
        <v>6</v>
      </c>
      <c r="F287" s="261">
        <f>SUBTOTAL(9,F279:F286)</f>
        <v>123382.44</v>
      </c>
      <c r="G287" s="201">
        <f>COUNTIF(G279:G286,N283)</f>
        <v>4</v>
      </c>
      <c r="H287" s="262"/>
      <c r="I287" s="265"/>
      <c r="J287" s="261">
        <f t="shared" ref="J287:M287" si="216">SUBTOTAL(9,J279:J286)</f>
        <v>83904.290000000008</v>
      </c>
      <c r="K287" s="261">
        <f t="shared" si="216"/>
        <v>0</v>
      </c>
      <c r="L287" s="261">
        <f t="shared" si="216"/>
        <v>135608.35</v>
      </c>
      <c r="M287" s="261">
        <f t="shared" si="216"/>
        <v>135608.35</v>
      </c>
      <c r="N287" s="201"/>
      <c r="O287" s="236"/>
      <c r="P287" s="255">
        <v>28610.46</v>
      </c>
      <c r="Q287" s="255">
        <v>2355.63</v>
      </c>
      <c r="R287" s="255">
        <v>27944.09</v>
      </c>
      <c r="S287" s="261">
        <f>SUBTOTAL(9,S279:S286)</f>
        <v>30966.09</v>
      </c>
      <c r="T287" s="203"/>
      <c r="U287" s="201"/>
      <c r="V287" s="203"/>
      <c r="W287" s="203"/>
      <c r="X287" s="203"/>
      <c r="Y287" s="261">
        <f>SUBTOTAL(9,Y279:Y286)</f>
        <v>0</v>
      </c>
      <c r="Z287" s="243" t="s">
        <v>1138</v>
      </c>
      <c r="AA287" s="228"/>
      <c r="AB287" s="218">
        <f>SUM(AB279:AB286)</f>
        <v>185998.25792541142</v>
      </c>
      <c r="AC287" s="220"/>
      <c r="AD287" s="220"/>
      <c r="AE287" s="244">
        <f>COUNTIF(AE279:AE286,"V") + COUNTIF(AE279:AE286,"VV") + COUNTIF(AE279:AE286,"VVV")</f>
        <v>5</v>
      </c>
      <c r="AF287" s="229"/>
      <c r="AG287" s="220"/>
      <c r="AH287" s="220"/>
      <c r="AI287" s="220"/>
      <c r="AJ287" s="221"/>
      <c r="AK287" s="220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</row>
    <row r="288" spans="1:61" ht="16.5" customHeight="1" outlineLevel="2">
      <c r="A288" s="207">
        <f t="shared" ref="A288:A296" si="217">SUBTOTAL(3,$B$6:B288)</f>
        <v>268</v>
      </c>
      <c r="B288" s="207">
        <v>1</v>
      </c>
      <c r="C288" s="245" t="s">
        <v>1526</v>
      </c>
      <c r="D288" s="209">
        <v>9072.4752857066742</v>
      </c>
      <c r="E288" s="504" t="s">
        <v>91</v>
      </c>
      <c r="F288" s="213">
        <f t="shared" ref="F288:F290" si="218">IF(M288&gt;0,M288,IF(S288&gt;0,S288,IF(Y288&gt;0,Y288,0)))</f>
        <v>6656.32</v>
      </c>
      <c r="G288" s="207"/>
      <c r="H288" s="281" t="e">
        <f t="shared" ref="H288:H296" si="219">VALUE(RIGHT(I288,4))</f>
        <v>#VALUE!</v>
      </c>
      <c r="I288" s="212"/>
      <c r="J288" s="213"/>
      <c r="K288" s="213"/>
      <c r="L288" s="213"/>
      <c r="M288" s="213">
        <f t="shared" ref="M288:M296" si="220">IF(L288&gt;0,L288,IF(J288&gt;0,J288,0))</f>
        <v>0</v>
      </c>
      <c r="N288" s="207"/>
      <c r="O288" s="231" t="s">
        <v>1471</v>
      </c>
      <c r="P288" s="230">
        <v>0</v>
      </c>
      <c r="Q288" s="230">
        <v>0</v>
      </c>
      <c r="R288" s="230">
        <v>0</v>
      </c>
      <c r="S288" s="213">
        <f t="shared" ref="S288:S296" si="221">IF(R288&gt;0,R288,IF(P288&gt;0,P288,0))</f>
        <v>0</v>
      </c>
      <c r="T288" s="216" t="s">
        <v>1076</v>
      </c>
      <c r="U288" s="227" t="s">
        <v>972</v>
      </c>
      <c r="V288" s="216">
        <v>6656.32</v>
      </c>
      <c r="W288" s="216"/>
      <c r="X288" s="216">
        <v>6656.32</v>
      </c>
      <c r="Y288" s="213">
        <f t="shared" ref="Y288:Y296" si="222">IF(X288&gt;0,X288,IF(V288&gt;0,V288,0))</f>
        <v>6656.32</v>
      </c>
      <c r="Z288" s="222">
        <v>2022</v>
      </c>
      <c r="AA288" s="228"/>
      <c r="AB288" s="218">
        <v>8597.3992707020534</v>
      </c>
      <c r="AC288" s="220"/>
      <c r="AD288" s="220"/>
      <c r="AE288" s="220" t="str">
        <f t="shared" ref="AE288:AE296" si="223">CONCATENATE(G288,N288,T288)</f>
        <v>V</v>
      </c>
      <c r="AF288" s="229"/>
      <c r="AG288" s="220" t="e">
        <f t="shared" ref="AG288:AG296" si="224">IF(H288=0,"3",IF(H288&lt;=2018,"2","1"))</f>
        <v>#VALUE!</v>
      </c>
      <c r="AH288" s="220" t="str">
        <f t="shared" ref="AH288:AH296" si="225">IF(M288&gt;0,"1","2")</f>
        <v>2</v>
      </c>
      <c r="AI288" s="220"/>
      <c r="AJ288" s="221" t="str">
        <f t="shared" ref="AJ288:AJ296" si="226">IF(S288&gt;0,"1",IF(Y288&gt;0,"1","2"))</f>
        <v>1</v>
      </c>
      <c r="AK288" s="220" t="e">
        <f t="shared" ref="AK288:AK296" si="227">CONCATENATE(AG288,".",AH288,".",AI288,".",AJ288)</f>
        <v>#VALUE!</v>
      </c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</row>
    <row r="289" spans="1:61" ht="16.5" customHeight="1" outlineLevel="2">
      <c r="A289" s="207">
        <f t="shared" si="217"/>
        <v>269</v>
      </c>
      <c r="B289" s="207">
        <v>2</v>
      </c>
      <c r="C289" s="245" t="s">
        <v>1527</v>
      </c>
      <c r="D289" s="209">
        <v>2210.4473394580027</v>
      </c>
      <c r="E289" s="504" t="s">
        <v>104</v>
      </c>
      <c r="F289" s="213">
        <f t="shared" si="218"/>
        <v>0</v>
      </c>
      <c r="G289" s="207"/>
      <c r="H289" s="281" t="e">
        <f t="shared" si="219"/>
        <v>#VALUE!</v>
      </c>
      <c r="I289" s="212"/>
      <c r="J289" s="213"/>
      <c r="K289" s="213"/>
      <c r="L289" s="213"/>
      <c r="M289" s="213">
        <f t="shared" si="220"/>
        <v>0</v>
      </c>
      <c r="N289" s="207"/>
      <c r="O289" s="231" t="s">
        <v>1517</v>
      </c>
      <c r="P289" s="230">
        <v>0</v>
      </c>
      <c r="Q289" s="230">
        <v>0</v>
      </c>
      <c r="R289" s="230">
        <v>0</v>
      </c>
      <c r="S289" s="213">
        <f t="shared" si="221"/>
        <v>0</v>
      </c>
      <c r="T289" s="216"/>
      <c r="U289" s="207"/>
      <c r="V289" s="216"/>
      <c r="W289" s="216"/>
      <c r="X289" s="216"/>
      <c r="Y289" s="213">
        <f t="shared" si="222"/>
        <v>0</v>
      </c>
      <c r="Z289" s="222" t="s">
        <v>1097</v>
      </c>
      <c r="AA289" s="228"/>
      <c r="AB289" s="218">
        <v>2186.5898842993752</v>
      </c>
      <c r="AC289" s="220"/>
      <c r="AD289" s="220" t="s">
        <v>1528</v>
      </c>
      <c r="AE289" s="220" t="str">
        <f t="shared" si="223"/>
        <v/>
      </c>
      <c r="AF289" s="229"/>
      <c r="AG289" s="220" t="e">
        <f t="shared" si="224"/>
        <v>#VALUE!</v>
      </c>
      <c r="AH289" s="220" t="str">
        <f t="shared" si="225"/>
        <v>2</v>
      </c>
      <c r="AI289" s="220"/>
      <c r="AJ289" s="221" t="str">
        <f t="shared" si="226"/>
        <v>2</v>
      </c>
      <c r="AK289" s="220" t="e">
        <f t="shared" si="227"/>
        <v>#VALUE!</v>
      </c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</row>
    <row r="290" spans="1:61" ht="16.5" customHeight="1" outlineLevel="2">
      <c r="A290" s="207">
        <f t="shared" si="217"/>
        <v>270</v>
      </c>
      <c r="B290" s="207">
        <v>3</v>
      </c>
      <c r="C290" s="245" t="s">
        <v>1529</v>
      </c>
      <c r="D290" s="209">
        <v>8860.6571979158343</v>
      </c>
      <c r="E290" s="504" t="s">
        <v>104</v>
      </c>
      <c r="F290" s="213">
        <f t="shared" si="218"/>
        <v>9250</v>
      </c>
      <c r="G290" s="207"/>
      <c r="H290" s="281">
        <f t="shared" si="219"/>
        <v>2013</v>
      </c>
      <c r="I290" s="212" t="s">
        <v>941</v>
      </c>
      <c r="J290" s="213">
        <v>9250</v>
      </c>
      <c r="K290" s="213">
        <v>0</v>
      </c>
      <c r="L290" s="213">
        <v>9250</v>
      </c>
      <c r="M290" s="213">
        <f t="shared" si="220"/>
        <v>9250</v>
      </c>
      <c r="N290" s="207"/>
      <c r="O290" s="231" t="s">
        <v>1530</v>
      </c>
      <c r="P290" s="230"/>
      <c r="Q290" s="230"/>
      <c r="R290" s="230"/>
      <c r="S290" s="213">
        <f t="shared" si="221"/>
        <v>0</v>
      </c>
      <c r="T290" s="216"/>
      <c r="U290" s="207"/>
      <c r="V290" s="216"/>
      <c r="W290" s="216"/>
      <c r="X290" s="216"/>
      <c r="Y290" s="213">
        <f t="shared" si="222"/>
        <v>0</v>
      </c>
      <c r="Z290" s="222">
        <v>2023</v>
      </c>
      <c r="AA290" s="228" t="s">
        <v>1090</v>
      </c>
      <c r="AB290" s="218">
        <v>8579.8626757011079</v>
      </c>
      <c r="AC290" s="220"/>
      <c r="AD290" s="220" t="s">
        <v>1528</v>
      </c>
      <c r="AE290" s="220" t="str">
        <f t="shared" si="223"/>
        <v/>
      </c>
      <c r="AF290" s="229"/>
      <c r="AG290" s="220" t="str">
        <f t="shared" si="224"/>
        <v>2</v>
      </c>
      <c r="AH290" s="220" t="str">
        <f t="shared" si="225"/>
        <v>1</v>
      </c>
      <c r="AI290" s="220"/>
      <c r="AJ290" s="221" t="str">
        <f t="shared" si="226"/>
        <v>2</v>
      </c>
      <c r="AK290" s="220" t="str">
        <f t="shared" si="227"/>
        <v>2.1..2</v>
      </c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</row>
    <row r="291" spans="1:61" ht="16.5" customHeight="1" outlineLevel="2">
      <c r="A291" s="207">
        <f t="shared" si="217"/>
        <v>271</v>
      </c>
      <c r="B291" s="207">
        <v>4</v>
      </c>
      <c r="C291" s="245" t="s">
        <v>1531</v>
      </c>
      <c r="D291" s="209">
        <v>11780.804680852652</v>
      </c>
      <c r="E291" s="504" t="s">
        <v>91</v>
      </c>
      <c r="F291" s="213">
        <f>Y291</f>
        <v>7135.27</v>
      </c>
      <c r="G291" s="207"/>
      <c r="H291" s="281">
        <f t="shared" si="219"/>
        <v>2012</v>
      </c>
      <c r="I291" s="212" t="s">
        <v>1497</v>
      </c>
      <c r="J291" s="213">
        <v>14667</v>
      </c>
      <c r="K291" s="213">
        <v>0</v>
      </c>
      <c r="L291" s="213">
        <v>14667</v>
      </c>
      <c r="M291" s="213">
        <f t="shared" si="220"/>
        <v>14667</v>
      </c>
      <c r="N291" s="207"/>
      <c r="O291" s="253" t="s">
        <v>1532</v>
      </c>
      <c r="P291" s="230">
        <v>0</v>
      </c>
      <c r="Q291" s="230">
        <v>0</v>
      </c>
      <c r="R291" s="230">
        <v>0</v>
      </c>
      <c r="S291" s="213">
        <f t="shared" si="221"/>
        <v>0</v>
      </c>
      <c r="T291" s="216" t="s">
        <v>1076</v>
      </c>
      <c r="U291" s="517" t="s">
        <v>577</v>
      </c>
      <c r="V291" s="216">
        <v>7135.27</v>
      </c>
      <c r="W291" s="216"/>
      <c r="X291" s="216"/>
      <c r="Y291" s="213">
        <f t="shared" si="222"/>
        <v>7135.27</v>
      </c>
      <c r="Z291" s="222">
        <v>2022</v>
      </c>
      <c r="AA291" s="228"/>
      <c r="AB291" s="218">
        <v>10514.342169556719</v>
      </c>
      <c r="AC291" s="220"/>
      <c r="AD291" s="220" t="s">
        <v>1528</v>
      </c>
      <c r="AE291" s="220" t="str">
        <f t="shared" si="223"/>
        <v>V</v>
      </c>
      <c r="AF291" s="229"/>
      <c r="AG291" s="220" t="str">
        <f t="shared" si="224"/>
        <v>2</v>
      </c>
      <c r="AH291" s="220" t="str">
        <f t="shared" si="225"/>
        <v>1</v>
      </c>
      <c r="AI291" s="220"/>
      <c r="AJ291" s="221" t="str">
        <f t="shared" si="226"/>
        <v>1</v>
      </c>
      <c r="AK291" s="220" t="str">
        <f t="shared" si="227"/>
        <v>2.1..1</v>
      </c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</row>
    <row r="292" spans="1:61" ht="16.5" customHeight="1" outlineLevel="2">
      <c r="A292" s="207">
        <f t="shared" si="217"/>
        <v>272</v>
      </c>
      <c r="B292" s="207">
        <v>5</v>
      </c>
      <c r="C292" s="245" t="s">
        <v>1533</v>
      </c>
      <c r="D292" s="209">
        <v>7139.6798480712105</v>
      </c>
      <c r="E292" s="504" t="s">
        <v>104</v>
      </c>
      <c r="F292" s="213">
        <f t="shared" ref="F292:F295" si="228">IF(M292&gt;0,M292,IF(S292&gt;0,S292,IF(Y292&gt;0,Y292,0)))</f>
        <v>7498.12</v>
      </c>
      <c r="G292" s="207"/>
      <c r="H292" s="281">
        <f t="shared" si="219"/>
        <v>2012</v>
      </c>
      <c r="I292" s="212" t="s">
        <v>323</v>
      </c>
      <c r="J292" s="213">
        <v>7498.12</v>
      </c>
      <c r="K292" s="213">
        <v>0</v>
      </c>
      <c r="L292" s="213">
        <v>7498.12</v>
      </c>
      <c r="M292" s="213">
        <f t="shared" si="220"/>
        <v>7498.12</v>
      </c>
      <c r="N292" s="207"/>
      <c r="O292" s="253" t="s">
        <v>1534</v>
      </c>
      <c r="P292" s="230">
        <v>7498.12</v>
      </c>
      <c r="Q292" s="230">
        <v>0</v>
      </c>
      <c r="R292" s="230">
        <v>7498.12</v>
      </c>
      <c r="S292" s="213">
        <f t="shared" si="221"/>
        <v>7498.12</v>
      </c>
      <c r="T292" s="216"/>
      <c r="U292" s="221"/>
      <c r="V292" s="216"/>
      <c r="W292" s="216"/>
      <c r="X292" s="216"/>
      <c r="Y292" s="213">
        <f t="shared" si="222"/>
        <v>0</v>
      </c>
      <c r="Z292" s="222">
        <v>2023</v>
      </c>
      <c r="AA292" s="228" t="s">
        <v>1090</v>
      </c>
      <c r="AB292" s="218">
        <v>6999.1901005096151</v>
      </c>
      <c r="AC292" s="220"/>
      <c r="AD292" s="220"/>
      <c r="AE292" s="220" t="str">
        <f t="shared" si="223"/>
        <v/>
      </c>
      <c r="AF292" s="229"/>
      <c r="AG292" s="220" t="str">
        <f t="shared" si="224"/>
        <v>2</v>
      </c>
      <c r="AH292" s="220" t="str">
        <f t="shared" si="225"/>
        <v>1</v>
      </c>
      <c r="AI292" s="220"/>
      <c r="AJ292" s="221" t="str">
        <f t="shared" si="226"/>
        <v>1</v>
      </c>
      <c r="AK292" s="220" t="str">
        <f t="shared" si="227"/>
        <v>2.1..1</v>
      </c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</row>
    <row r="293" spans="1:61" ht="16.5" customHeight="1" outlineLevel="2">
      <c r="A293" s="207">
        <f t="shared" si="217"/>
        <v>273</v>
      </c>
      <c r="B293" s="207">
        <v>6</v>
      </c>
      <c r="C293" s="245" t="s">
        <v>1535</v>
      </c>
      <c r="D293" s="209">
        <v>6584.1438484407881</v>
      </c>
      <c r="E293" s="504" t="s">
        <v>91</v>
      </c>
      <c r="F293" s="213">
        <f t="shared" si="228"/>
        <v>6116</v>
      </c>
      <c r="G293" s="207" t="s">
        <v>1076</v>
      </c>
      <c r="H293" s="223">
        <f t="shared" si="219"/>
        <v>2020</v>
      </c>
      <c r="I293" s="248" t="s">
        <v>568</v>
      </c>
      <c r="J293" s="246">
        <v>0</v>
      </c>
      <c r="K293" s="246">
        <v>0</v>
      </c>
      <c r="L293" s="246">
        <v>6116</v>
      </c>
      <c r="M293" s="213">
        <f t="shared" si="220"/>
        <v>6116</v>
      </c>
      <c r="N293" s="207"/>
      <c r="O293" s="231"/>
      <c r="P293" s="230"/>
      <c r="Q293" s="230"/>
      <c r="R293" s="230"/>
      <c r="S293" s="213">
        <f t="shared" si="221"/>
        <v>0</v>
      </c>
      <c r="T293" s="216"/>
      <c r="U293" s="207"/>
      <c r="V293" s="216"/>
      <c r="W293" s="216"/>
      <c r="X293" s="216"/>
      <c r="Y293" s="213">
        <f t="shared" si="222"/>
        <v>0</v>
      </c>
      <c r="Z293" s="222" t="s">
        <v>1536</v>
      </c>
      <c r="AA293" s="228"/>
      <c r="AB293" s="218">
        <v>6427.6602747881543</v>
      </c>
      <c r="AC293" s="220"/>
      <c r="AD293" s="220"/>
      <c r="AE293" s="220" t="str">
        <f t="shared" si="223"/>
        <v>V</v>
      </c>
      <c r="AF293" s="229"/>
      <c r="AG293" s="220" t="str">
        <f t="shared" si="224"/>
        <v>1</v>
      </c>
      <c r="AH293" s="220" t="str">
        <f t="shared" si="225"/>
        <v>1</v>
      </c>
      <c r="AI293" s="220"/>
      <c r="AJ293" s="221" t="str">
        <f t="shared" si="226"/>
        <v>2</v>
      </c>
      <c r="AK293" s="220" t="str">
        <f t="shared" si="227"/>
        <v>1.1..2</v>
      </c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</row>
    <row r="294" spans="1:61" ht="16.5" customHeight="1" outlineLevel="2">
      <c r="A294" s="207">
        <f t="shared" si="217"/>
        <v>274</v>
      </c>
      <c r="B294" s="207">
        <v>7</v>
      </c>
      <c r="C294" s="245" t="s">
        <v>1537</v>
      </c>
      <c r="D294" s="209">
        <v>3572.2235155293615</v>
      </c>
      <c r="E294" s="504" t="s">
        <v>104</v>
      </c>
      <c r="F294" s="213">
        <f t="shared" si="228"/>
        <v>3496</v>
      </c>
      <c r="G294" s="207"/>
      <c r="H294" s="281">
        <f t="shared" si="219"/>
        <v>2013</v>
      </c>
      <c r="I294" s="212" t="s">
        <v>1538</v>
      </c>
      <c r="J294" s="213">
        <v>3496</v>
      </c>
      <c r="K294" s="213">
        <v>0</v>
      </c>
      <c r="L294" s="213">
        <v>3496</v>
      </c>
      <c r="M294" s="213">
        <f t="shared" si="220"/>
        <v>3496</v>
      </c>
      <c r="N294" s="207"/>
      <c r="O294" s="231"/>
      <c r="P294" s="230"/>
      <c r="Q294" s="230"/>
      <c r="R294" s="230"/>
      <c r="S294" s="213">
        <f t="shared" si="221"/>
        <v>0</v>
      </c>
      <c r="T294" s="216"/>
      <c r="U294" s="207"/>
      <c r="V294" s="216"/>
      <c r="W294" s="216"/>
      <c r="X294" s="216"/>
      <c r="Y294" s="213">
        <f t="shared" si="222"/>
        <v>0</v>
      </c>
      <c r="Z294" s="222">
        <v>2023</v>
      </c>
      <c r="AA294" s="228" t="s">
        <v>1090</v>
      </c>
      <c r="AB294" s="218">
        <v>3411.6959586837093</v>
      </c>
      <c r="AC294" s="220"/>
      <c r="AD294" s="220"/>
      <c r="AE294" s="220" t="str">
        <f t="shared" si="223"/>
        <v/>
      </c>
      <c r="AF294" s="229"/>
      <c r="AG294" s="220" t="str">
        <f t="shared" si="224"/>
        <v>2</v>
      </c>
      <c r="AH294" s="220" t="str">
        <f t="shared" si="225"/>
        <v>1</v>
      </c>
      <c r="AI294" s="220"/>
      <c r="AJ294" s="221" t="str">
        <f t="shared" si="226"/>
        <v>2</v>
      </c>
      <c r="AK294" s="220" t="str">
        <f t="shared" si="227"/>
        <v>2.1..2</v>
      </c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</row>
    <row r="295" spans="1:61" ht="16.5" customHeight="1" outlineLevel="2">
      <c r="A295" s="207">
        <f t="shared" si="217"/>
        <v>275</v>
      </c>
      <c r="B295" s="207">
        <v>8</v>
      </c>
      <c r="C295" s="245" t="s">
        <v>1539</v>
      </c>
      <c r="D295" s="209">
        <v>2164.0629831683145</v>
      </c>
      <c r="E295" s="504" t="s">
        <v>91</v>
      </c>
      <c r="F295" s="213">
        <f t="shared" si="228"/>
        <v>1081</v>
      </c>
      <c r="G295" s="207" t="s">
        <v>1076</v>
      </c>
      <c r="H295" s="281">
        <f t="shared" si="219"/>
        <v>2021</v>
      </c>
      <c r="I295" s="212" t="s">
        <v>542</v>
      </c>
      <c r="J295" s="213"/>
      <c r="K295" s="213">
        <v>0</v>
      </c>
      <c r="L295" s="213">
        <v>1081</v>
      </c>
      <c r="M295" s="213">
        <f t="shared" si="220"/>
        <v>1081</v>
      </c>
      <c r="N295" s="207"/>
      <c r="O295" s="231"/>
      <c r="P295" s="230"/>
      <c r="Q295" s="230"/>
      <c r="R295" s="230"/>
      <c r="S295" s="213">
        <f t="shared" si="221"/>
        <v>0</v>
      </c>
      <c r="T295" s="216"/>
      <c r="U295" s="207"/>
      <c r="V295" s="216"/>
      <c r="W295" s="216"/>
      <c r="X295" s="216"/>
      <c r="Y295" s="213">
        <f t="shared" si="222"/>
        <v>0</v>
      </c>
      <c r="Z295" s="222">
        <v>2020</v>
      </c>
      <c r="AA295" s="228"/>
      <c r="AB295" s="218">
        <v>1604.6700783030042</v>
      </c>
      <c r="AC295" s="220"/>
      <c r="AD295" s="220"/>
      <c r="AE295" s="220" t="str">
        <f t="shared" si="223"/>
        <v>V</v>
      </c>
      <c r="AF295" s="229"/>
      <c r="AG295" s="220" t="str">
        <f t="shared" si="224"/>
        <v>1</v>
      </c>
      <c r="AH295" s="220" t="str">
        <f t="shared" si="225"/>
        <v>1</v>
      </c>
      <c r="AI295" s="220"/>
      <c r="AJ295" s="221" t="str">
        <f t="shared" si="226"/>
        <v>2</v>
      </c>
      <c r="AK295" s="220" t="str">
        <f t="shared" si="227"/>
        <v>1.1..2</v>
      </c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</row>
    <row r="296" spans="1:61" ht="16.5" customHeight="1" outlineLevel="2">
      <c r="A296" s="207">
        <f t="shared" si="217"/>
        <v>276</v>
      </c>
      <c r="B296" s="207">
        <v>9</v>
      </c>
      <c r="C296" s="245" t="s">
        <v>1540</v>
      </c>
      <c r="D296" s="209">
        <v>19611.384850335791</v>
      </c>
      <c r="E296" s="504" t="s">
        <v>91</v>
      </c>
      <c r="F296" s="213">
        <f>Y296</f>
        <v>16013.86</v>
      </c>
      <c r="G296" s="207"/>
      <c r="H296" s="281">
        <f t="shared" si="219"/>
        <v>2012</v>
      </c>
      <c r="I296" s="212" t="s">
        <v>323</v>
      </c>
      <c r="J296" s="213">
        <v>18831</v>
      </c>
      <c r="K296" s="213">
        <v>0</v>
      </c>
      <c r="L296" s="213">
        <v>18831</v>
      </c>
      <c r="M296" s="213">
        <f t="shared" si="220"/>
        <v>18831</v>
      </c>
      <c r="N296" s="207"/>
      <c r="O296" s="253" t="s">
        <v>1541</v>
      </c>
      <c r="P296" s="230">
        <v>0</v>
      </c>
      <c r="Q296" s="230">
        <v>0</v>
      </c>
      <c r="R296" s="230">
        <v>0</v>
      </c>
      <c r="S296" s="213">
        <f t="shared" si="221"/>
        <v>0</v>
      </c>
      <c r="T296" s="216" t="s">
        <v>1076</v>
      </c>
      <c r="U296" s="507" t="s">
        <v>583</v>
      </c>
      <c r="V296" s="275">
        <v>16013.86</v>
      </c>
      <c r="W296" s="216"/>
      <c r="X296" s="216"/>
      <c r="Y296" s="213">
        <f t="shared" si="222"/>
        <v>16013.86</v>
      </c>
      <c r="Z296" s="222">
        <v>2022</v>
      </c>
      <c r="AA296" s="228"/>
      <c r="AB296" s="218">
        <v>19357.554110894354</v>
      </c>
      <c r="AC296" s="220"/>
      <c r="AD296" s="220"/>
      <c r="AE296" s="220" t="str">
        <f t="shared" si="223"/>
        <v>V</v>
      </c>
      <c r="AF296" s="229"/>
      <c r="AG296" s="220" t="str">
        <f t="shared" si="224"/>
        <v>2</v>
      </c>
      <c r="AH296" s="220" t="str">
        <f t="shared" si="225"/>
        <v>1</v>
      </c>
      <c r="AI296" s="220"/>
      <c r="AJ296" s="221" t="str">
        <f t="shared" si="226"/>
        <v>1</v>
      </c>
      <c r="AK296" s="220" t="str">
        <f t="shared" si="227"/>
        <v>2.1..1</v>
      </c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</row>
    <row r="297" spans="1:61" ht="16.5" customHeight="1" outlineLevel="1">
      <c r="A297" s="207"/>
      <c r="B297" s="201"/>
      <c r="C297" s="249" t="s">
        <v>1542</v>
      </c>
      <c r="D297" s="250"/>
      <c r="E297" s="238">
        <f>COUNTIF(E288:E296,"D") + COUNTIF(E288:E296,"DS")</f>
        <v>9</v>
      </c>
      <c r="F297" s="254">
        <f>SUBTOTAL(9,F288:F296)</f>
        <v>57246.57</v>
      </c>
      <c r="G297" s="201"/>
      <c r="H297" s="240"/>
      <c r="I297" s="264"/>
      <c r="J297" s="254">
        <f t="shared" ref="J297:L297" si="229">SUBTOTAL(9,J288:J296)</f>
        <v>53742.119999999995</v>
      </c>
      <c r="K297" s="254">
        <f t="shared" si="229"/>
        <v>0</v>
      </c>
      <c r="L297" s="254">
        <f t="shared" si="229"/>
        <v>60939.119999999995</v>
      </c>
      <c r="M297" s="254"/>
      <c r="N297" s="201"/>
      <c r="O297" s="236"/>
      <c r="P297" s="255">
        <v>7498.12</v>
      </c>
      <c r="Q297" s="255">
        <v>0</v>
      </c>
      <c r="R297" s="255">
        <v>7498.12</v>
      </c>
      <c r="S297" s="254"/>
      <c r="T297" s="203">
        <v>1</v>
      </c>
      <c r="U297" s="201">
        <v>1</v>
      </c>
      <c r="V297" s="203">
        <f>SUM(V288:V296)</f>
        <v>29805.45</v>
      </c>
      <c r="W297" s="203">
        <v>0</v>
      </c>
      <c r="X297" s="203"/>
      <c r="Y297" s="254"/>
      <c r="Z297" s="243" t="s">
        <v>1138</v>
      </c>
      <c r="AA297" s="228"/>
      <c r="AB297" s="218">
        <f>SUM(AB288:AB296)</f>
        <v>67678.964523438102</v>
      </c>
      <c r="AC297" s="220"/>
      <c r="AD297" s="220"/>
      <c r="AE297" s="244">
        <f>COUNTIF(AE288:AE296,"V") + COUNTIF(AE288:AE296,"VV") + COUNTIF(AE288:AE296,"VVV")</f>
        <v>5</v>
      </c>
      <c r="AF297" s="229"/>
      <c r="AG297" s="220"/>
      <c r="AH297" s="220"/>
      <c r="AI297" s="220"/>
      <c r="AJ297" s="221"/>
      <c r="AK297" s="220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</row>
    <row r="298" spans="1:61" ht="16.5" customHeight="1" outlineLevel="1">
      <c r="A298" s="207">
        <f t="shared" ref="A298:A307" si="230">SUBTOTAL(3,$B$6:B298)</f>
        <v>277</v>
      </c>
      <c r="B298" s="207">
        <v>1</v>
      </c>
      <c r="C298" s="208" t="s">
        <v>1543</v>
      </c>
      <c r="D298" s="247">
        <v>41098.590661478658</v>
      </c>
      <c r="E298" s="504" t="s">
        <v>661</v>
      </c>
      <c r="F298" s="213">
        <f t="shared" ref="F298:F307" si="231">IF(M298&gt;0,M298,IF(S298&gt;0,S298,IF(Y298&gt;0,Y298,0)))</f>
        <v>0</v>
      </c>
      <c r="G298" s="207"/>
      <c r="H298" s="281" t="e">
        <f t="shared" ref="H298:H307" si="232">VALUE(RIGHT(I298,4))</f>
        <v>#VALUE!</v>
      </c>
      <c r="I298" s="212"/>
      <c r="J298" s="213"/>
      <c r="K298" s="213"/>
      <c r="L298" s="213"/>
      <c r="M298" s="213">
        <f t="shared" ref="M298:M307" si="233">IF(L298&gt;0,L298,IF(J298&gt;0,J298,0))</f>
        <v>0</v>
      </c>
      <c r="N298" s="207"/>
      <c r="O298" s="231"/>
      <c r="P298" s="230"/>
      <c r="Q298" s="230"/>
      <c r="R298" s="230"/>
      <c r="S298" s="213">
        <f t="shared" ref="S298:S307" si="234">IF(R298&gt;0,R298,IF(P298&gt;0,P298,0))</f>
        <v>0</v>
      </c>
      <c r="T298" s="216"/>
      <c r="U298" s="207"/>
      <c r="V298" s="216"/>
      <c r="W298" s="216"/>
      <c r="X298" s="216"/>
      <c r="Y298" s="213">
        <f t="shared" ref="Y298:Y307" si="235">IF(X298&gt;0,X298,IF(V298&gt;0,V298,0))</f>
        <v>0</v>
      </c>
      <c r="Z298" s="222" t="s">
        <v>1129</v>
      </c>
      <c r="AA298" s="228" t="s">
        <v>1090</v>
      </c>
      <c r="AB298" s="218">
        <v>39529.150394434342</v>
      </c>
      <c r="AC298" s="220"/>
      <c r="AD298" s="220"/>
      <c r="AE298" s="220" t="str">
        <f t="shared" ref="AE298:AE307" si="236">CONCATENATE(G298,N298,T298)</f>
        <v/>
      </c>
      <c r="AF298" s="229"/>
      <c r="AG298" s="220" t="e">
        <f t="shared" ref="AG298:AG307" si="237">IF(H298=0,"3",IF(H298&lt;=2018,"2","1"))</f>
        <v>#VALUE!</v>
      </c>
      <c r="AH298" s="220" t="str">
        <f t="shared" ref="AH298:AH307" si="238">IF(M298&gt;0,"1","2")</f>
        <v>2</v>
      </c>
      <c r="AI298" s="220"/>
      <c r="AJ298" s="221" t="str">
        <f t="shared" ref="AJ298:AJ307" si="239">IF(S298&gt;0,"1",IF(Y298&gt;0,"1","2"))</f>
        <v>2</v>
      </c>
      <c r="AK298" s="220" t="e">
        <f t="shared" ref="AK298:AK307" si="240">CONCATENATE(AG298,".",AH298,".",AI298,".",AJ298)</f>
        <v>#VALUE!</v>
      </c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</row>
    <row r="299" spans="1:61" ht="16.5" customHeight="1" outlineLevel="2">
      <c r="A299" s="207">
        <f t="shared" si="230"/>
        <v>278</v>
      </c>
      <c r="B299" s="207">
        <v>2</v>
      </c>
      <c r="C299" s="245" t="s">
        <v>1544</v>
      </c>
      <c r="D299" s="209">
        <v>16843.85038115488</v>
      </c>
      <c r="E299" s="504" t="s">
        <v>104</v>
      </c>
      <c r="F299" s="213">
        <f t="shared" si="231"/>
        <v>15985</v>
      </c>
      <c r="G299" s="207"/>
      <c r="H299" s="281">
        <f t="shared" si="232"/>
        <v>2012</v>
      </c>
      <c r="I299" s="212" t="s">
        <v>588</v>
      </c>
      <c r="J299" s="213">
        <v>15985</v>
      </c>
      <c r="K299" s="213">
        <v>0</v>
      </c>
      <c r="L299" s="213">
        <v>15985</v>
      </c>
      <c r="M299" s="213">
        <f t="shared" si="233"/>
        <v>15985</v>
      </c>
      <c r="N299" s="207"/>
      <c r="O299" s="231"/>
      <c r="P299" s="230"/>
      <c r="Q299" s="230"/>
      <c r="R299" s="230"/>
      <c r="S299" s="213">
        <f t="shared" si="234"/>
        <v>0</v>
      </c>
      <c r="T299" s="216"/>
      <c r="U299" s="207"/>
      <c r="V299" s="216"/>
      <c r="W299" s="216"/>
      <c r="X299" s="216"/>
      <c r="Y299" s="213">
        <f t="shared" si="235"/>
        <v>0</v>
      </c>
      <c r="Z299" s="222">
        <v>2023</v>
      </c>
      <c r="AA299" s="228" t="s">
        <v>1090</v>
      </c>
      <c r="AB299" s="218">
        <v>19059.931307602394</v>
      </c>
      <c r="AC299" s="220"/>
      <c r="AD299" s="220"/>
      <c r="AE299" s="220" t="str">
        <f t="shared" si="236"/>
        <v/>
      </c>
      <c r="AF299" s="229"/>
      <c r="AG299" s="220" t="str">
        <f t="shared" si="237"/>
        <v>2</v>
      </c>
      <c r="AH299" s="220" t="str">
        <f t="shared" si="238"/>
        <v>1</v>
      </c>
      <c r="AI299" s="220"/>
      <c r="AJ299" s="221" t="str">
        <f t="shared" si="239"/>
        <v>2</v>
      </c>
      <c r="AK299" s="220" t="str">
        <f t="shared" si="240"/>
        <v>2.1..2</v>
      </c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</row>
    <row r="300" spans="1:61" ht="16.5" customHeight="1" outlineLevel="2">
      <c r="A300" s="207">
        <f t="shared" si="230"/>
        <v>279</v>
      </c>
      <c r="B300" s="207">
        <v>3</v>
      </c>
      <c r="C300" s="245" t="s">
        <v>1545</v>
      </c>
      <c r="D300" s="209">
        <v>1620.8858962842853</v>
      </c>
      <c r="E300" s="504" t="s">
        <v>104</v>
      </c>
      <c r="F300" s="213">
        <f t="shared" si="231"/>
        <v>845.18</v>
      </c>
      <c r="G300" s="207"/>
      <c r="H300" s="281" t="e">
        <f t="shared" si="232"/>
        <v>#VALUE!</v>
      </c>
      <c r="I300" s="212"/>
      <c r="J300" s="213"/>
      <c r="K300" s="213"/>
      <c r="L300" s="213"/>
      <c r="M300" s="213">
        <f t="shared" si="233"/>
        <v>0</v>
      </c>
      <c r="N300" s="207"/>
      <c r="O300" s="231" t="s">
        <v>1546</v>
      </c>
      <c r="P300" s="230">
        <v>845.18</v>
      </c>
      <c r="Q300" s="230">
        <v>0</v>
      </c>
      <c r="R300" s="230">
        <v>0</v>
      </c>
      <c r="S300" s="213">
        <f t="shared" si="234"/>
        <v>845.18</v>
      </c>
      <c r="T300" s="216"/>
      <c r="U300" s="207"/>
      <c r="V300" s="216"/>
      <c r="W300" s="216"/>
      <c r="X300" s="216"/>
      <c r="Y300" s="213">
        <f t="shared" si="235"/>
        <v>0</v>
      </c>
      <c r="Z300" s="222" t="s">
        <v>1097</v>
      </c>
      <c r="AA300" s="228"/>
      <c r="AB300" s="218">
        <v>1628.7127689742822</v>
      </c>
      <c r="AC300" s="220"/>
      <c r="AD300" s="220"/>
      <c r="AE300" s="220" t="str">
        <f t="shared" si="236"/>
        <v/>
      </c>
      <c r="AF300" s="229"/>
      <c r="AG300" s="220" t="e">
        <f t="shared" si="237"/>
        <v>#VALUE!</v>
      </c>
      <c r="AH300" s="220" t="str">
        <f t="shared" si="238"/>
        <v>2</v>
      </c>
      <c r="AI300" s="220"/>
      <c r="AJ300" s="221" t="str">
        <f t="shared" si="239"/>
        <v>1</v>
      </c>
      <c r="AK300" s="220" t="e">
        <f t="shared" si="240"/>
        <v>#VALUE!</v>
      </c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</row>
    <row r="301" spans="1:61" ht="16.5" customHeight="1" outlineLevel="2">
      <c r="A301" s="207">
        <f t="shared" si="230"/>
        <v>280</v>
      </c>
      <c r="B301" s="207">
        <v>4</v>
      </c>
      <c r="C301" s="245" t="s">
        <v>1547</v>
      </c>
      <c r="D301" s="209">
        <v>1564.2662942887334</v>
      </c>
      <c r="E301" s="504" t="s">
        <v>91</v>
      </c>
      <c r="F301" s="213">
        <f t="shared" si="231"/>
        <v>509.54</v>
      </c>
      <c r="G301" s="207" t="s">
        <v>1076</v>
      </c>
      <c r="H301" s="223">
        <f t="shared" si="232"/>
        <v>2019</v>
      </c>
      <c r="I301" s="248" t="s">
        <v>349</v>
      </c>
      <c r="J301" s="246">
        <v>510</v>
      </c>
      <c r="K301" s="246">
        <v>0</v>
      </c>
      <c r="L301" s="246">
        <v>509.54</v>
      </c>
      <c r="M301" s="213">
        <f t="shared" si="233"/>
        <v>509.54</v>
      </c>
      <c r="N301" s="207"/>
      <c r="O301" s="231"/>
      <c r="P301" s="230"/>
      <c r="Q301" s="230"/>
      <c r="R301" s="230"/>
      <c r="S301" s="213">
        <f t="shared" si="234"/>
        <v>0</v>
      </c>
      <c r="T301" s="216"/>
      <c r="U301" s="207"/>
      <c r="V301" s="216"/>
      <c r="W301" s="216"/>
      <c r="X301" s="216"/>
      <c r="Y301" s="213">
        <f t="shared" si="235"/>
        <v>0</v>
      </c>
      <c r="Z301" s="222">
        <v>2020</v>
      </c>
      <c r="AA301" s="228"/>
      <c r="AB301" s="218">
        <v>1414.392366929563</v>
      </c>
      <c r="AC301" s="220"/>
      <c r="AD301" s="220"/>
      <c r="AE301" s="220" t="str">
        <f t="shared" si="236"/>
        <v>V</v>
      </c>
      <c r="AF301" s="229"/>
      <c r="AG301" s="220" t="str">
        <f t="shared" si="237"/>
        <v>1</v>
      </c>
      <c r="AH301" s="220" t="str">
        <f t="shared" si="238"/>
        <v>1</v>
      </c>
      <c r="AI301" s="220"/>
      <c r="AJ301" s="221" t="str">
        <f t="shared" si="239"/>
        <v>2</v>
      </c>
      <c r="AK301" s="220" t="str">
        <f t="shared" si="240"/>
        <v>1.1..2</v>
      </c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</row>
    <row r="302" spans="1:61" ht="16.5" customHeight="1" outlineLevel="2">
      <c r="A302" s="207">
        <f t="shared" si="230"/>
        <v>281</v>
      </c>
      <c r="B302" s="207">
        <v>5</v>
      </c>
      <c r="C302" s="245" t="s">
        <v>1548</v>
      </c>
      <c r="D302" s="209">
        <v>15004.399421588989</v>
      </c>
      <c r="E302" s="504" t="s">
        <v>661</v>
      </c>
      <c r="F302" s="213">
        <f t="shared" si="231"/>
        <v>0</v>
      </c>
      <c r="G302" s="207"/>
      <c r="H302" s="223" t="e">
        <f t="shared" si="232"/>
        <v>#VALUE!</v>
      </c>
      <c r="I302" s="248"/>
      <c r="J302" s="246"/>
      <c r="K302" s="246"/>
      <c r="L302" s="246"/>
      <c r="M302" s="213">
        <f t="shared" si="233"/>
        <v>0</v>
      </c>
      <c r="N302" s="207"/>
      <c r="O302" s="231"/>
      <c r="P302" s="230"/>
      <c r="Q302" s="230"/>
      <c r="R302" s="230"/>
      <c r="S302" s="213">
        <f t="shared" si="234"/>
        <v>0</v>
      </c>
      <c r="T302" s="216"/>
      <c r="U302" s="207"/>
      <c r="V302" s="216"/>
      <c r="W302" s="216"/>
      <c r="X302" s="216"/>
      <c r="Y302" s="213">
        <f t="shared" si="235"/>
        <v>0</v>
      </c>
      <c r="Z302" s="222">
        <v>2023</v>
      </c>
      <c r="AA302" s="228" t="s">
        <v>1090</v>
      </c>
      <c r="AB302" s="218">
        <v>14637.615232438919</v>
      </c>
      <c r="AC302" s="220"/>
      <c r="AD302" s="220"/>
      <c r="AE302" s="220" t="str">
        <f t="shared" si="236"/>
        <v/>
      </c>
      <c r="AF302" s="229"/>
      <c r="AG302" s="220" t="e">
        <f t="shared" si="237"/>
        <v>#VALUE!</v>
      </c>
      <c r="AH302" s="220" t="str">
        <f t="shared" si="238"/>
        <v>2</v>
      </c>
      <c r="AI302" s="220"/>
      <c r="AJ302" s="221" t="str">
        <f t="shared" si="239"/>
        <v>2</v>
      </c>
      <c r="AK302" s="220" t="e">
        <f t="shared" si="240"/>
        <v>#VALUE!</v>
      </c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</row>
    <row r="303" spans="1:61" ht="16.5" customHeight="1" outlineLevel="2">
      <c r="A303" s="207">
        <f t="shared" si="230"/>
        <v>282</v>
      </c>
      <c r="B303" s="207">
        <v>6</v>
      </c>
      <c r="C303" s="245" t="s">
        <v>1549</v>
      </c>
      <c r="D303" s="209">
        <v>50281.807291596626</v>
      </c>
      <c r="E303" s="504" t="s">
        <v>91</v>
      </c>
      <c r="F303" s="213">
        <f t="shared" si="231"/>
        <v>37225.19</v>
      </c>
      <c r="G303" s="207"/>
      <c r="H303" s="223" t="e">
        <f t="shared" si="232"/>
        <v>#VALUE!</v>
      </c>
      <c r="I303" s="248"/>
      <c r="J303" s="246"/>
      <c r="K303" s="246"/>
      <c r="L303" s="246"/>
      <c r="M303" s="213">
        <f t="shared" si="233"/>
        <v>0</v>
      </c>
      <c r="N303" s="207"/>
      <c r="O303" s="231"/>
      <c r="P303" s="230"/>
      <c r="Q303" s="230"/>
      <c r="R303" s="230"/>
      <c r="S303" s="213">
        <f t="shared" si="234"/>
        <v>0</v>
      </c>
      <c r="T303" s="216" t="s">
        <v>1076</v>
      </c>
      <c r="U303" s="507" t="s">
        <v>595</v>
      </c>
      <c r="V303" s="232">
        <v>37225.19</v>
      </c>
      <c r="W303" s="233">
        <v>6842.43</v>
      </c>
      <c r="X303" s="216"/>
      <c r="Y303" s="213">
        <f t="shared" si="235"/>
        <v>37225.19</v>
      </c>
      <c r="Z303" s="222">
        <v>2022</v>
      </c>
      <c r="AA303" s="228"/>
      <c r="AB303" s="218">
        <v>49327.545929641034</v>
      </c>
      <c r="AC303" s="220"/>
      <c r="AD303" s="220"/>
      <c r="AE303" s="220" t="str">
        <f t="shared" si="236"/>
        <v>V</v>
      </c>
      <c r="AF303" s="229"/>
      <c r="AG303" s="220" t="e">
        <f t="shared" si="237"/>
        <v>#VALUE!</v>
      </c>
      <c r="AH303" s="220" t="str">
        <f t="shared" si="238"/>
        <v>2</v>
      </c>
      <c r="AI303" s="220"/>
      <c r="AJ303" s="221" t="str">
        <f t="shared" si="239"/>
        <v>1</v>
      </c>
      <c r="AK303" s="220" t="e">
        <f t="shared" si="240"/>
        <v>#VALUE!</v>
      </c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</row>
    <row r="304" spans="1:61" ht="16.5" customHeight="1" outlineLevel="2">
      <c r="A304" s="207">
        <f t="shared" si="230"/>
        <v>283</v>
      </c>
      <c r="B304" s="207">
        <v>7</v>
      </c>
      <c r="C304" s="245" t="s">
        <v>1550</v>
      </c>
      <c r="D304" s="209">
        <v>39388.978943097041</v>
      </c>
      <c r="E304" s="504" t="s">
        <v>91</v>
      </c>
      <c r="F304" s="213">
        <f t="shared" si="231"/>
        <v>41528.82</v>
      </c>
      <c r="G304" s="207"/>
      <c r="H304" s="223" t="e">
        <f t="shared" si="232"/>
        <v>#VALUE!</v>
      </c>
      <c r="I304" s="248"/>
      <c r="J304" s="246"/>
      <c r="K304" s="246"/>
      <c r="L304" s="246"/>
      <c r="M304" s="213">
        <f t="shared" si="233"/>
        <v>0</v>
      </c>
      <c r="N304" s="207"/>
      <c r="O304" s="231"/>
      <c r="P304" s="230"/>
      <c r="Q304" s="230"/>
      <c r="R304" s="230"/>
      <c r="S304" s="213">
        <f t="shared" si="234"/>
        <v>0</v>
      </c>
      <c r="T304" s="216" t="s">
        <v>1076</v>
      </c>
      <c r="U304" s="227" t="s">
        <v>597</v>
      </c>
      <c r="V304" s="216">
        <v>35436.21</v>
      </c>
      <c r="W304" s="216">
        <v>6092.61</v>
      </c>
      <c r="X304" s="216">
        <f>V304+W304</f>
        <v>41528.82</v>
      </c>
      <c r="Y304" s="213">
        <f t="shared" si="235"/>
        <v>41528.82</v>
      </c>
      <c r="Z304" s="222">
        <v>2022</v>
      </c>
      <c r="AA304" s="228"/>
      <c r="AB304" s="218">
        <v>39398.549510520126</v>
      </c>
      <c r="AC304" s="220"/>
      <c r="AD304" s="220"/>
      <c r="AE304" s="220" t="str">
        <f t="shared" si="236"/>
        <v>V</v>
      </c>
      <c r="AF304" s="229"/>
      <c r="AG304" s="220" t="e">
        <f t="shared" si="237"/>
        <v>#VALUE!</v>
      </c>
      <c r="AH304" s="220" t="str">
        <f t="shared" si="238"/>
        <v>2</v>
      </c>
      <c r="AI304" s="220"/>
      <c r="AJ304" s="221" t="str">
        <f t="shared" si="239"/>
        <v>1</v>
      </c>
      <c r="AK304" s="220" t="e">
        <f t="shared" si="240"/>
        <v>#VALUE!</v>
      </c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</row>
    <row r="305" spans="1:61" ht="16.5" customHeight="1">
      <c r="A305" s="207">
        <f t="shared" si="230"/>
        <v>284</v>
      </c>
      <c r="B305" s="207">
        <v>8</v>
      </c>
      <c r="C305" s="208" t="s">
        <v>1551</v>
      </c>
      <c r="D305" s="247">
        <v>5117.3727613116989</v>
      </c>
      <c r="E305" s="504" t="s">
        <v>661</v>
      </c>
      <c r="F305" s="213">
        <f t="shared" si="231"/>
        <v>0</v>
      </c>
      <c r="G305" s="208"/>
      <c r="H305" s="284" t="e">
        <f t="shared" si="232"/>
        <v>#VALUE!</v>
      </c>
      <c r="I305" s="231"/>
      <c r="J305" s="230"/>
      <c r="K305" s="230"/>
      <c r="L305" s="230"/>
      <c r="M305" s="213">
        <f t="shared" si="233"/>
        <v>0</v>
      </c>
      <c r="N305" s="208"/>
      <c r="O305" s="231"/>
      <c r="P305" s="230"/>
      <c r="Q305" s="230"/>
      <c r="R305" s="230"/>
      <c r="S305" s="213">
        <f t="shared" si="234"/>
        <v>0</v>
      </c>
      <c r="T305" s="216"/>
      <c r="U305" s="207"/>
      <c r="V305" s="216"/>
      <c r="W305" s="216"/>
      <c r="X305" s="216"/>
      <c r="Y305" s="213">
        <f t="shared" si="235"/>
        <v>0</v>
      </c>
      <c r="Z305" s="222">
        <v>2023</v>
      </c>
      <c r="AA305" s="228" t="s">
        <v>1090</v>
      </c>
      <c r="AB305" s="218">
        <v>5129.1826136485233</v>
      </c>
      <c r="AC305" s="220"/>
      <c r="AD305" s="220"/>
      <c r="AE305" s="220" t="str">
        <f t="shared" si="236"/>
        <v/>
      </c>
      <c r="AF305" s="229"/>
      <c r="AG305" s="220" t="e">
        <f t="shared" si="237"/>
        <v>#VALUE!</v>
      </c>
      <c r="AH305" s="220" t="str">
        <f t="shared" si="238"/>
        <v>2</v>
      </c>
      <c r="AI305" s="220"/>
      <c r="AJ305" s="221" t="str">
        <f t="shared" si="239"/>
        <v>2</v>
      </c>
      <c r="AK305" s="220" t="e">
        <f t="shared" si="240"/>
        <v>#VALUE!</v>
      </c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</row>
    <row r="306" spans="1:61" ht="16.5" customHeight="1">
      <c r="A306" s="207">
        <f t="shared" si="230"/>
        <v>285</v>
      </c>
      <c r="B306" s="207">
        <v>9</v>
      </c>
      <c r="C306" s="208" t="s">
        <v>1552</v>
      </c>
      <c r="D306" s="247">
        <v>54918.064678249575</v>
      </c>
      <c r="E306" s="504" t="s">
        <v>91</v>
      </c>
      <c r="F306" s="213">
        <f t="shared" si="231"/>
        <v>83973.2</v>
      </c>
      <c r="G306" s="208"/>
      <c r="H306" s="284" t="e">
        <f t="shared" si="232"/>
        <v>#VALUE!</v>
      </c>
      <c r="I306" s="231"/>
      <c r="J306" s="230"/>
      <c r="K306" s="230"/>
      <c r="L306" s="230"/>
      <c r="M306" s="213">
        <f t="shared" si="233"/>
        <v>0</v>
      </c>
      <c r="N306" s="208"/>
      <c r="O306" s="231"/>
      <c r="P306" s="230"/>
      <c r="Q306" s="230"/>
      <c r="R306" s="230"/>
      <c r="S306" s="213">
        <f t="shared" si="234"/>
        <v>0</v>
      </c>
      <c r="T306" s="216" t="s">
        <v>1076</v>
      </c>
      <c r="U306" s="507" t="s">
        <v>601</v>
      </c>
      <c r="V306" s="232">
        <v>83973.2</v>
      </c>
      <c r="W306" s="233">
        <v>26189.200000000001</v>
      </c>
      <c r="X306" s="216"/>
      <c r="Y306" s="213">
        <f t="shared" si="235"/>
        <v>83973.2</v>
      </c>
      <c r="Z306" s="222">
        <v>2022</v>
      </c>
      <c r="AA306" s="228"/>
      <c r="AB306" s="218">
        <v>54334.447607601454</v>
      </c>
      <c r="AC306" s="220"/>
      <c r="AD306" s="220"/>
      <c r="AE306" s="220" t="str">
        <f t="shared" si="236"/>
        <v>V</v>
      </c>
      <c r="AF306" s="229"/>
      <c r="AG306" s="220" t="e">
        <f t="shared" si="237"/>
        <v>#VALUE!</v>
      </c>
      <c r="AH306" s="220" t="str">
        <f t="shared" si="238"/>
        <v>2</v>
      </c>
      <c r="AI306" s="220"/>
      <c r="AJ306" s="221" t="str">
        <f t="shared" si="239"/>
        <v>1</v>
      </c>
      <c r="AK306" s="220" t="e">
        <f t="shared" si="240"/>
        <v>#VALUE!</v>
      </c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</row>
    <row r="307" spans="1:61" ht="16.5" customHeight="1" outlineLevel="2">
      <c r="A307" s="207">
        <f t="shared" si="230"/>
        <v>286</v>
      </c>
      <c r="B307" s="207">
        <v>10</v>
      </c>
      <c r="C307" s="245" t="s">
        <v>1553</v>
      </c>
      <c r="D307" s="209">
        <v>8704.1668223644701</v>
      </c>
      <c r="E307" s="504" t="s">
        <v>91</v>
      </c>
      <c r="F307" s="213">
        <f t="shared" si="231"/>
        <v>13924</v>
      </c>
      <c r="G307" s="207" t="s">
        <v>1076</v>
      </c>
      <c r="H307" s="223">
        <f t="shared" si="232"/>
        <v>2020</v>
      </c>
      <c r="I307" s="248" t="s">
        <v>603</v>
      </c>
      <c r="J307" s="246">
        <v>0</v>
      </c>
      <c r="K307" s="246">
        <v>0</v>
      </c>
      <c r="L307" s="246">
        <v>13924</v>
      </c>
      <c r="M307" s="213">
        <f t="shared" si="233"/>
        <v>13924</v>
      </c>
      <c r="N307" s="207"/>
      <c r="O307" s="231"/>
      <c r="P307" s="230"/>
      <c r="Q307" s="230"/>
      <c r="R307" s="230"/>
      <c r="S307" s="213">
        <f t="shared" si="234"/>
        <v>0</v>
      </c>
      <c r="T307" s="216"/>
      <c r="U307" s="207"/>
      <c r="V307" s="216"/>
      <c r="W307" s="216"/>
      <c r="X307" s="216"/>
      <c r="Y307" s="213">
        <f t="shared" si="235"/>
        <v>0</v>
      </c>
      <c r="Z307" s="222">
        <v>2020</v>
      </c>
      <c r="AA307" s="228"/>
      <c r="AB307" s="218">
        <v>9102.1688929841348</v>
      </c>
      <c r="AC307" s="220"/>
      <c r="AD307" s="220"/>
      <c r="AE307" s="220" t="str">
        <f t="shared" si="236"/>
        <v>V</v>
      </c>
      <c r="AF307" s="229"/>
      <c r="AG307" s="220" t="str">
        <f t="shared" si="237"/>
        <v>1</v>
      </c>
      <c r="AH307" s="220" t="str">
        <f t="shared" si="238"/>
        <v>1</v>
      </c>
      <c r="AI307" s="220"/>
      <c r="AJ307" s="221" t="str">
        <f t="shared" si="239"/>
        <v>2</v>
      </c>
      <c r="AK307" s="220" t="str">
        <f t="shared" si="240"/>
        <v>1.1..2</v>
      </c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</row>
    <row r="308" spans="1:61" ht="16.5" customHeight="1" outlineLevel="1">
      <c r="A308" s="207"/>
      <c r="B308" s="201"/>
      <c r="C308" s="249" t="s">
        <v>1554</v>
      </c>
      <c r="D308" s="250"/>
      <c r="E308" s="238">
        <f>COUNTIF(E298:E307,"D") + COUNTIF(E298:E307,"DS")</f>
        <v>7</v>
      </c>
      <c r="F308" s="261">
        <f>SUBTOTAL(9,F298:F307)</f>
        <v>193990.93</v>
      </c>
      <c r="G308" s="201"/>
      <c r="H308" s="262"/>
      <c r="I308" s="265"/>
      <c r="J308" s="261">
        <f t="shared" ref="J308:M308" si="241">SUBTOTAL(9,J298:J307)</f>
        <v>16495</v>
      </c>
      <c r="K308" s="261">
        <f t="shared" si="241"/>
        <v>0</v>
      </c>
      <c r="L308" s="261">
        <f t="shared" si="241"/>
        <v>30418.54</v>
      </c>
      <c r="M308" s="261">
        <f t="shared" si="241"/>
        <v>30418.54</v>
      </c>
      <c r="N308" s="201"/>
      <c r="O308" s="236"/>
      <c r="P308" s="255">
        <v>845.18</v>
      </c>
      <c r="Q308" s="255">
        <v>0</v>
      </c>
      <c r="R308" s="255">
        <v>0</v>
      </c>
      <c r="S308" s="261">
        <f>SUBTOTAL(9,S298:S307)</f>
        <v>845.18</v>
      </c>
      <c r="T308" s="203">
        <v>2</v>
      </c>
      <c r="U308" s="201">
        <v>2</v>
      </c>
      <c r="V308" s="203">
        <v>845.18</v>
      </c>
      <c r="W308" s="203">
        <v>0</v>
      </c>
      <c r="X308" s="203">
        <v>0</v>
      </c>
      <c r="Y308" s="261">
        <f>SUBTOTAL(9,Y298:Y307)</f>
        <v>162727.21000000002</v>
      </c>
      <c r="Z308" s="243" t="s">
        <v>1138</v>
      </c>
      <c r="AA308" s="228"/>
      <c r="AB308" s="218">
        <f>SUM(AB298:AB307)</f>
        <v>233561.69662477481</v>
      </c>
      <c r="AC308" s="220"/>
      <c r="AD308" s="220"/>
      <c r="AE308" s="244">
        <f>COUNTIF(AE298:AE307,"V") + COUNTIF(AE298:AE307,"VV") + COUNTIF(AE298:AE307,"VVV")</f>
        <v>5</v>
      </c>
      <c r="AF308" s="229"/>
      <c r="AG308" s="220"/>
      <c r="AH308" s="220"/>
      <c r="AI308" s="220"/>
      <c r="AJ308" s="221"/>
      <c r="AK308" s="220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</row>
    <row r="309" spans="1:61" ht="16.5" customHeight="1" outlineLevel="2">
      <c r="A309" s="207">
        <f t="shared" ref="A309:A330" si="242">SUBTOTAL(3,$B$6:B309)</f>
        <v>287</v>
      </c>
      <c r="B309" s="207">
        <v>1</v>
      </c>
      <c r="C309" s="245" t="s">
        <v>1555</v>
      </c>
      <c r="D309" s="209">
        <v>557.55256569003154</v>
      </c>
      <c r="E309" s="504" t="s">
        <v>91</v>
      </c>
      <c r="F309" s="213">
        <f>S309</f>
        <v>230640</v>
      </c>
      <c r="G309" s="207"/>
      <c r="H309" s="281">
        <f t="shared" ref="H309:H330" si="243">VALUE(RIGHT(I309,4))</f>
        <v>2013</v>
      </c>
      <c r="I309" s="212" t="s">
        <v>167</v>
      </c>
      <c r="J309" s="213">
        <v>9435</v>
      </c>
      <c r="K309" s="213">
        <v>0</v>
      </c>
      <c r="L309" s="213">
        <v>9435</v>
      </c>
      <c r="M309" s="213">
        <f t="shared" ref="M309:M330" si="244">IF(L309&gt;0,L309,IF(J309&gt;0,J309,0))</f>
        <v>9435</v>
      </c>
      <c r="N309" s="207" t="s">
        <v>1076</v>
      </c>
      <c r="O309" s="253" t="s">
        <v>605</v>
      </c>
      <c r="P309" s="230">
        <v>230640</v>
      </c>
      <c r="Q309" s="230">
        <v>0</v>
      </c>
      <c r="R309" s="230">
        <v>0</v>
      </c>
      <c r="S309" s="213">
        <f t="shared" ref="S309:S330" si="245">IF(R309&gt;0,R309,IF(P309&gt;0,P309,0))</f>
        <v>230640</v>
      </c>
      <c r="T309" s="216"/>
      <c r="U309" s="221"/>
      <c r="V309" s="216"/>
      <c r="W309" s="216"/>
      <c r="X309" s="216"/>
      <c r="Y309" s="213">
        <f t="shared" ref="Y309:Y330" si="246">IF(X309&gt;0,X309,IF(V309&gt;0,V309,0))</f>
        <v>0</v>
      </c>
      <c r="Z309" s="222">
        <v>2020</v>
      </c>
      <c r="AA309" s="228"/>
      <c r="AB309" s="218"/>
      <c r="AC309" s="220"/>
      <c r="AD309" s="220"/>
      <c r="AE309" s="220" t="str">
        <f t="shared" ref="AE309:AE330" si="247">CONCATENATE(G309,N309,T309)</f>
        <v>V</v>
      </c>
      <c r="AF309" s="229"/>
      <c r="AG309" s="220" t="str">
        <f t="shared" ref="AG309:AG330" si="248">IF(H309=0,"3",IF(H309&lt;=2018,"2","1"))</f>
        <v>2</v>
      </c>
      <c r="AH309" s="220" t="str">
        <f t="shared" ref="AH309:AH330" si="249">IF(M309&gt;0,"1","2")</f>
        <v>1</v>
      </c>
      <c r="AI309" s="220"/>
      <c r="AJ309" s="221" t="str">
        <f t="shared" ref="AJ309:AJ330" si="250">IF(S309&gt;0,"1",IF(Y309&gt;0,"1","2"))</f>
        <v>1</v>
      </c>
      <c r="AK309" s="220" t="str">
        <f t="shared" ref="AK309:AK330" si="251">CONCATENATE(AG309,".",AH309,".",AI309,".",AJ309)</f>
        <v>2.1..1</v>
      </c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</row>
    <row r="310" spans="1:61" ht="16.5" customHeight="1" outlineLevel="2">
      <c r="A310" s="207">
        <f t="shared" si="242"/>
        <v>288</v>
      </c>
      <c r="B310" s="207">
        <v>2</v>
      </c>
      <c r="C310" s="245" t="s">
        <v>1556</v>
      </c>
      <c r="D310" s="209">
        <v>5505.1090567668698</v>
      </c>
      <c r="E310" s="504" t="s">
        <v>91</v>
      </c>
      <c r="F310" s="213">
        <f t="shared" ref="F310:F316" si="252">IF(M310&gt;0,M310,IF(S310&gt;0,S310,IF(Y310&gt;0,Y310,0)))</f>
        <v>3849</v>
      </c>
      <c r="G310" s="207" t="s">
        <v>1076</v>
      </c>
      <c r="H310" s="223">
        <f t="shared" si="243"/>
        <v>2020</v>
      </c>
      <c r="I310" s="248" t="s">
        <v>262</v>
      </c>
      <c r="J310" s="246">
        <v>0</v>
      </c>
      <c r="K310" s="246">
        <v>0</v>
      </c>
      <c r="L310" s="246">
        <v>3849</v>
      </c>
      <c r="M310" s="213">
        <f t="shared" si="244"/>
        <v>3849</v>
      </c>
      <c r="N310" s="207"/>
      <c r="O310" s="231"/>
      <c r="P310" s="230"/>
      <c r="Q310" s="230"/>
      <c r="R310" s="230"/>
      <c r="S310" s="213">
        <f t="shared" si="245"/>
        <v>0</v>
      </c>
      <c r="T310" s="216"/>
      <c r="U310" s="207"/>
      <c r="V310" s="216"/>
      <c r="W310" s="216"/>
      <c r="X310" s="216"/>
      <c r="Y310" s="213">
        <f t="shared" si="246"/>
        <v>0</v>
      </c>
      <c r="Z310" s="222">
        <v>2020</v>
      </c>
      <c r="AA310" s="228"/>
      <c r="AB310" s="218"/>
      <c r="AC310" s="220"/>
      <c r="AD310" s="220"/>
      <c r="AE310" s="220" t="str">
        <f t="shared" si="247"/>
        <v>V</v>
      </c>
      <c r="AF310" s="229"/>
      <c r="AG310" s="220" t="str">
        <f t="shared" si="248"/>
        <v>1</v>
      </c>
      <c r="AH310" s="220" t="str">
        <f t="shared" si="249"/>
        <v>1</v>
      </c>
      <c r="AI310" s="220"/>
      <c r="AJ310" s="221" t="str">
        <f t="shared" si="250"/>
        <v>2</v>
      </c>
      <c r="AK310" s="220" t="str">
        <f t="shared" si="251"/>
        <v>1.1..2</v>
      </c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</row>
    <row r="311" spans="1:61" ht="16.5" customHeight="1" outlineLevel="2">
      <c r="A311" s="207">
        <f t="shared" si="242"/>
        <v>289</v>
      </c>
      <c r="B311" s="207">
        <v>3</v>
      </c>
      <c r="C311" s="245" t="s">
        <v>1557</v>
      </c>
      <c r="D311" s="209">
        <v>4257.7466925032104</v>
      </c>
      <c r="E311" s="504" t="s">
        <v>91</v>
      </c>
      <c r="F311" s="213">
        <f t="shared" si="252"/>
        <v>4265.1899999999996</v>
      </c>
      <c r="G311" s="207"/>
      <c r="H311" s="281" t="e">
        <f t="shared" si="243"/>
        <v>#VALUE!</v>
      </c>
      <c r="I311" s="212"/>
      <c r="J311" s="213"/>
      <c r="K311" s="213"/>
      <c r="L311" s="213"/>
      <c r="M311" s="213">
        <f t="shared" si="244"/>
        <v>0</v>
      </c>
      <c r="N311" s="207" t="s">
        <v>1076</v>
      </c>
      <c r="O311" s="231" t="s">
        <v>608</v>
      </c>
      <c r="P311" s="230">
        <v>4265.1899999999996</v>
      </c>
      <c r="Q311" s="230">
        <v>0</v>
      </c>
      <c r="R311" s="230">
        <v>0</v>
      </c>
      <c r="S311" s="213">
        <f t="shared" si="245"/>
        <v>4265.1899999999996</v>
      </c>
      <c r="T311" s="216"/>
      <c r="U311" s="207"/>
      <c r="V311" s="216"/>
      <c r="W311" s="216"/>
      <c r="X311" s="216"/>
      <c r="Y311" s="213">
        <f t="shared" si="246"/>
        <v>0</v>
      </c>
      <c r="Z311" s="222">
        <v>2020</v>
      </c>
      <c r="AA311" s="228"/>
      <c r="AB311" s="218"/>
      <c r="AC311" s="220"/>
      <c r="AD311" s="220"/>
      <c r="AE311" s="220" t="str">
        <f t="shared" si="247"/>
        <v>V</v>
      </c>
      <c r="AF311" s="229"/>
      <c r="AG311" s="220" t="e">
        <f t="shared" si="248"/>
        <v>#VALUE!</v>
      </c>
      <c r="AH311" s="220" t="str">
        <f t="shared" si="249"/>
        <v>2</v>
      </c>
      <c r="AI311" s="220"/>
      <c r="AJ311" s="221" t="str">
        <f t="shared" si="250"/>
        <v>1</v>
      </c>
      <c r="AK311" s="220" t="e">
        <f t="shared" si="251"/>
        <v>#VALUE!</v>
      </c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</row>
    <row r="312" spans="1:61" ht="16.5" customHeight="1" outlineLevel="2">
      <c r="A312" s="207">
        <f t="shared" si="242"/>
        <v>290</v>
      </c>
      <c r="B312" s="207">
        <v>4</v>
      </c>
      <c r="C312" s="245" t="s">
        <v>1558</v>
      </c>
      <c r="D312" s="209">
        <v>567.24534491888608</v>
      </c>
      <c r="E312" s="504" t="s">
        <v>91</v>
      </c>
      <c r="F312" s="213">
        <f t="shared" si="252"/>
        <v>10575.73</v>
      </c>
      <c r="G312" s="207"/>
      <c r="H312" s="281" t="e">
        <f t="shared" si="243"/>
        <v>#VALUE!</v>
      </c>
      <c r="I312" s="212"/>
      <c r="J312" s="213"/>
      <c r="K312" s="213"/>
      <c r="L312" s="213"/>
      <c r="M312" s="213">
        <f t="shared" si="244"/>
        <v>0</v>
      </c>
      <c r="N312" s="207" t="s">
        <v>1076</v>
      </c>
      <c r="O312" s="231" t="s">
        <v>610</v>
      </c>
      <c r="P312" s="230">
        <v>10575.73</v>
      </c>
      <c r="Q312" s="230">
        <v>0</v>
      </c>
      <c r="R312" s="230">
        <v>0</v>
      </c>
      <c r="S312" s="213">
        <f t="shared" si="245"/>
        <v>10575.73</v>
      </c>
      <c r="T312" s="216"/>
      <c r="U312" s="207"/>
      <c r="V312" s="216"/>
      <c r="W312" s="216"/>
      <c r="X312" s="216"/>
      <c r="Y312" s="213">
        <f t="shared" si="246"/>
        <v>0</v>
      </c>
      <c r="Z312" s="222">
        <v>2020</v>
      </c>
      <c r="AA312" s="228"/>
      <c r="AB312" s="218"/>
      <c r="AC312" s="220"/>
      <c r="AD312" s="220"/>
      <c r="AE312" s="220" t="str">
        <f t="shared" si="247"/>
        <v>V</v>
      </c>
      <c r="AF312" s="229"/>
      <c r="AG312" s="220" t="e">
        <f t="shared" si="248"/>
        <v>#VALUE!</v>
      </c>
      <c r="AH312" s="220" t="str">
        <f t="shared" si="249"/>
        <v>2</v>
      </c>
      <c r="AI312" s="220"/>
      <c r="AJ312" s="221" t="str">
        <f t="shared" si="250"/>
        <v>1</v>
      </c>
      <c r="AK312" s="220" t="e">
        <f t="shared" si="251"/>
        <v>#VALUE!</v>
      </c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</row>
    <row r="313" spans="1:61" ht="16.5" customHeight="1" outlineLevel="2">
      <c r="A313" s="207">
        <f t="shared" si="242"/>
        <v>291</v>
      </c>
      <c r="B313" s="207">
        <v>5</v>
      </c>
      <c r="C313" s="245" t="s">
        <v>1559</v>
      </c>
      <c r="D313" s="209">
        <v>15236.646580694654</v>
      </c>
      <c r="E313" s="504" t="s">
        <v>661</v>
      </c>
      <c r="F313" s="213">
        <f t="shared" si="252"/>
        <v>0</v>
      </c>
      <c r="G313" s="207"/>
      <c r="H313" s="281" t="e">
        <f t="shared" si="243"/>
        <v>#VALUE!</v>
      </c>
      <c r="I313" s="212"/>
      <c r="J313" s="213"/>
      <c r="K313" s="213"/>
      <c r="L313" s="213"/>
      <c r="M313" s="213">
        <f t="shared" si="244"/>
        <v>0</v>
      </c>
      <c r="N313" s="207"/>
      <c r="O313" s="231"/>
      <c r="P313" s="230"/>
      <c r="Q313" s="230"/>
      <c r="R313" s="230"/>
      <c r="S313" s="213">
        <f t="shared" si="245"/>
        <v>0</v>
      </c>
      <c r="T313" s="216"/>
      <c r="U313" s="207"/>
      <c r="V313" s="216"/>
      <c r="W313" s="216"/>
      <c r="X313" s="216"/>
      <c r="Y313" s="213">
        <f t="shared" si="246"/>
        <v>0</v>
      </c>
      <c r="Z313" s="222" t="s">
        <v>1464</v>
      </c>
      <c r="AA313" s="228"/>
      <c r="AB313" s="218"/>
      <c r="AC313" s="220"/>
      <c r="AD313" s="220"/>
      <c r="AE313" s="220" t="str">
        <f t="shared" si="247"/>
        <v/>
      </c>
      <c r="AF313" s="229"/>
      <c r="AG313" s="220" t="e">
        <f t="shared" si="248"/>
        <v>#VALUE!</v>
      </c>
      <c r="AH313" s="220" t="str">
        <f t="shared" si="249"/>
        <v>2</v>
      </c>
      <c r="AI313" s="220"/>
      <c r="AJ313" s="221" t="str">
        <f t="shared" si="250"/>
        <v>2</v>
      </c>
      <c r="AK313" s="220" t="e">
        <f t="shared" si="251"/>
        <v>#VALUE!</v>
      </c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</row>
    <row r="314" spans="1:61" ht="16.5" customHeight="1" outlineLevel="2">
      <c r="A314" s="207">
        <f t="shared" si="242"/>
        <v>292</v>
      </c>
      <c r="B314" s="207">
        <v>6</v>
      </c>
      <c r="C314" s="245" t="s">
        <v>1560</v>
      </c>
      <c r="D314" s="209">
        <v>487.39773179582659</v>
      </c>
      <c r="E314" s="504" t="s">
        <v>661</v>
      </c>
      <c r="F314" s="213">
        <f t="shared" si="252"/>
        <v>0</v>
      </c>
      <c r="G314" s="207"/>
      <c r="H314" s="281" t="e">
        <f t="shared" si="243"/>
        <v>#VALUE!</v>
      </c>
      <c r="I314" s="212"/>
      <c r="J314" s="213"/>
      <c r="K314" s="213"/>
      <c r="L314" s="213"/>
      <c r="M314" s="213">
        <f t="shared" si="244"/>
        <v>0</v>
      </c>
      <c r="N314" s="207"/>
      <c r="O314" s="231"/>
      <c r="P314" s="230"/>
      <c r="Q314" s="230"/>
      <c r="R314" s="230"/>
      <c r="S314" s="213">
        <f t="shared" si="245"/>
        <v>0</v>
      </c>
      <c r="T314" s="216"/>
      <c r="U314" s="207"/>
      <c r="V314" s="216"/>
      <c r="W314" s="216"/>
      <c r="X314" s="216"/>
      <c r="Y314" s="213">
        <f t="shared" si="246"/>
        <v>0</v>
      </c>
      <c r="Z314" s="222" t="s">
        <v>1097</v>
      </c>
      <c r="AA314" s="228"/>
      <c r="AB314" s="218"/>
      <c r="AC314" s="220"/>
      <c r="AD314" s="220"/>
      <c r="AE314" s="220" t="str">
        <f t="shared" si="247"/>
        <v/>
      </c>
      <c r="AF314" s="229"/>
      <c r="AG314" s="220" t="e">
        <f t="shared" si="248"/>
        <v>#VALUE!</v>
      </c>
      <c r="AH314" s="220" t="str">
        <f t="shared" si="249"/>
        <v>2</v>
      </c>
      <c r="AI314" s="220"/>
      <c r="AJ314" s="221" t="str">
        <f t="shared" si="250"/>
        <v>2</v>
      </c>
      <c r="AK314" s="220" t="e">
        <f t="shared" si="251"/>
        <v>#VALUE!</v>
      </c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</row>
    <row r="315" spans="1:61" ht="16.5" customHeight="1" outlineLevel="2">
      <c r="A315" s="207">
        <f t="shared" si="242"/>
        <v>293</v>
      </c>
      <c r="B315" s="207">
        <v>7</v>
      </c>
      <c r="C315" s="245" t="s">
        <v>1561</v>
      </c>
      <c r="D315" s="209">
        <v>81.986673597423604</v>
      </c>
      <c r="E315" s="504" t="s">
        <v>661</v>
      </c>
      <c r="F315" s="213">
        <f t="shared" si="252"/>
        <v>0</v>
      </c>
      <c r="G315" s="207"/>
      <c r="H315" s="281" t="e">
        <f t="shared" si="243"/>
        <v>#VALUE!</v>
      </c>
      <c r="I315" s="212"/>
      <c r="J315" s="213"/>
      <c r="K315" s="213"/>
      <c r="L315" s="213"/>
      <c r="M315" s="213">
        <f t="shared" si="244"/>
        <v>0</v>
      </c>
      <c r="N315" s="207"/>
      <c r="O315" s="231"/>
      <c r="P315" s="230"/>
      <c r="Q315" s="230"/>
      <c r="R315" s="230"/>
      <c r="S315" s="213">
        <f t="shared" si="245"/>
        <v>0</v>
      </c>
      <c r="T315" s="216"/>
      <c r="U315" s="207"/>
      <c r="V315" s="216"/>
      <c r="W315" s="216"/>
      <c r="X315" s="216"/>
      <c r="Y315" s="213">
        <f t="shared" si="246"/>
        <v>0</v>
      </c>
      <c r="Z315" s="222" t="s">
        <v>1097</v>
      </c>
      <c r="AA315" s="228"/>
      <c r="AB315" s="218"/>
      <c r="AC315" s="220"/>
      <c r="AD315" s="220"/>
      <c r="AE315" s="220" t="str">
        <f t="shared" si="247"/>
        <v/>
      </c>
      <c r="AF315" s="229"/>
      <c r="AG315" s="220" t="e">
        <f t="shared" si="248"/>
        <v>#VALUE!</v>
      </c>
      <c r="AH315" s="220" t="str">
        <f t="shared" si="249"/>
        <v>2</v>
      </c>
      <c r="AI315" s="220"/>
      <c r="AJ315" s="221" t="str">
        <f t="shared" si="250"/>
        <v>2</v>
      </c>
      <c r="AK315" s="220" t="e">
        <f t="shared" si="251"/>
        <v>#VALUE!</v>
      </c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</row>
    <row r="316" spans="1:61" ht="16.5" customHeight="1" outlineLevel="2">
      <c r="A316" s="207">
        <f t="shared" si="242"/>
        <v>294</v>
      </c>
      <c r="B316" s="207">
        <v>8</v>
      </c>
      <c r="C316" s="245" t="s">
        <v>1562</v>
      </c>
      <c r="D316" s="209">
        <v>4901.3803524166642</v>
      </c>
      <c r="E316" s="504" t="s">
        <v>661</v>
      </c>
      <c r="F316" s="213">
        <f t="shared" si="252"/>
        <v>0</v>
      </c>
      <c r="G316" s="207"/>
      <c r="H316" s="281" t="e">
        <f t="shared" si="243"/>
        <v>#VALUE!</v>
      </c>
      <c r="I316" s="212"/>
      <c r="J316" s="213"/>
      <c r="K316" s="213"/>
      <c r="L316" s="213"/>
      <c r="M316" s="213">
        <f t="shared" si="244"/>
        <v>0</v>
      </c>
      <c r="N316" s="207"/>
      <c r="O316" s="231"/>
      <c r="P316" s="230"/>
      <c r="Q316" s="230"/>
      <c r="R316" s="230"/>
      <c r="S316" s="213">
        <f t="shared" si="245"/>
        <v>0</v>
      </c>
      <c r="T316" s="216"/>
      <c r="U316" s="207"/>
      <c r="V316" s="216"/>
      <c r="W316" s="216"/>
      <c r="X316" s="216"/>
      <c r="Y316" s="213">
        <f t="shared" si="246"/>
        <v>0</v>
      </c>
      <c r="Z316" s="222">
        <v>2023</v>
      </c>
      <c r="AA316" s="228" t="s">
        <v>1090</v>
      </c>
      <c r="AB316" s="218"/>
      <c r="AC316" s="220"/>
      <c r="AD316" s="220"/>
      <c r="AE316" s="220" t="str">
        <f t="shared" si="247"/>
        <v/>
      </c>
      <c r="AF316" s="229"/>
      <c r="AG316" s="220" t="e">
        <f t="shared" si="248"/>
        <v>#VALUE!</v>
      </c>
      <c r="AH316" s="220" t="str">
        <f t="shared" si="249"/>
        <v>2</v>
      </c>
      <c r="AI316" s="220"/>
      <c r="AJ316" s="221" t="str">
        <f t="shared" si="250"/>
        <v>2</v>
      </c>
      <c r="AK316" s="220" t="e">
        <f t="shared" si="251"/>
        <v>#VALUE!</v>
      </c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</row>
    <row r="317" spans="1:61" ht="16.5" customHeight="1" outlineLevel="2">
      <c r="A317" s="207">
        <f t="shared" si="242"/>
        <v>295</v>
      </c>
      <c r="B317" s="207">
        <v>9</v>
      </c>
      <c r="C317" s="245" t="s">
        <v>1563</v>
      </c>
      <c r="D317" s="209">
        <v>12240.749552628569</v>
      </c>
      <c r="E317" s="504" t="s">
        <v>91</v>
      </c>
      <c r="F317" s="213">
        <f>Y317</f>
        <v>36425.199999999997</v>
      </c>
      <c r="G317" s="207"/>
      <c r="H317" s="281" t="e">
        <f t="shared" si="243"/>
        <v>#VALUE!</v>
      </c>
      <c r="I317" s="212"/>
      <c r="J317" s="213"/>
      <c r="K317" s="213"/>
      <c r="L317" s="213"/>
      <c r="M317" s="213">
        <f t="shared" si="244"/>
        <v>0</v>
      </c>
      <c r="N317" s="207"/>
      <c r="O317" s="231" t="s">
        <v>161</v>
      </c>
      <c r="P317" s="230">
        <v>12365.38</v>
      </c>
      <c r="Q317" s="230">
        <v>27992.59</v>
      </c>
      <c r="R317" s="230"/>
      <c r="S317" s="213">
        <f t="shared" si="245"/>
        <v>12365.38</v>
      </c>
      <c r="T317" s="216" t="s">
        <v>1076</v>
      </c>
      <c r="U317" s="234" t="s">
        <v>1564</v>
      </c>
      <c r="V317" s="232">
        <v>11907.78</v>
      </c>
      <c r="W317" s="233">
        <v>24517.41</v>
      </c>
      <c r="X317" s="299">
        <v>36425.199999999997</v>
      </c>
      <c r="Y317" s="213">
        <f t="shared" si="246"/>
        <v>36425.199999999997</v>
      </c>
      <c r="Z317" s="222">
        <v>2022</v>
      </c>
      <c r="AA317" s="228"/>
      <c r="AB317" s="218"/>
      <c r="AC317" s="220"/>
      <c r="AD317" s="220"/>
      <c r="AE317" s="220" t="str">
        <f t="shared" si="247"/>
        <v>V</v>
      </c>
      <c r="AF317" s="229"/>
      <c r="AG317" s="220" t="e">
        <f t="shared" si="248"/>
        <v>#VALUE!</v>
      </c>
      <c r="AH317" s="220" t="str">
        <f t="shared" si="249"/>
        <v>2</v>
      </c>
      <c r="AI317" s="220"/>
      <c r="AJ317" s="221" t="str">
        <f t="shared" si="250"/>
        <v>1</v>
      </c>
      <c r="AK317" s="220" t="e">
        <f t="shared" si="251"/>
        <v>#VALUE!</v>
      </c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</row>
    <row r="318" spans="1:61" ht="16.5" customHeight="1" outlineLevel="2">
      <c r="A318" s="207">
        <f t="shared" si="242"/>
        <v>296</v>
      </c>
      <c r="B318" s="207">
        <v>10</v>
      </c>
      <c r="C318" s="245" t="s">
        <v>1565</v>
      </c>
      <c r="D318" s="209">
        <v>18267.238561233615</v>
      </c>
      <c r="E318" s="504" t="s">
        <v>91</v>
      </c>
      <c r="F318" s="213">
        <f>IF(M318&gt;0,M318,IF(S318&gt;0,S318,IF(Y318&gt;0,Y318,0)))</f>
        <v>19119</v>
      </c>
      <c r="G318" s="207" t="s">
        <v>1076</v>
      </c>
      <c r="H318" s="281">
        <f t="shared" si="243"/>
        <v>2021</v>
      </c>
      <c r="I318" s="212" t="s">
        <v>1566</v>
      </c>
      <c r="J318" s="213"/>
      <c r="K318" s="213"/>
      <c r="L318" s="213">
        <v>19119</v>
      </c>
      <c r="M318" s="213">
        <f t="shared" si="244"/>
        <v>19119</v>
      </c>
      <c r="N318" s="207"/>
      <c r="O318" s="253" t="s">
        <v>1567</v>
      </c>
      <c r="P318" s="230">
        <v>16787</v>
      </c>
      <c r="Q318" s="230">
        <v>0</v>
      </c>
      <c r="R318" s="230">
        <v>0</v>
      </c>
      <c r="S318" s="213">
        <f t="shared" si="245"/>
        <v>16787</v>
      </c>
      <c r="T318" s="216" t="s">
        <v>1076</v>
      </c>
      <c r="U318" s="507" t="s">
        <v>1568</v>
      </c>
      <c r="V318" s="232">
        <v>16892.46</v>
      </c>
      <c r="W318" s="233">
        <v>1860.2</v>
      </c>
      <c r="X318" s="216"/>
      <c r="Y318" s="213">
        <f t="shared" si="246"/>
        <v>16892.46</v>
      </c>
      <c r="Z318" s="222">
        <v>2022</v>
      </c>
      <c r="AA318" s="228"/>
      <c r="AB318" s="218"/>
      <c r="AC318" s="220"/>
      <c r="AD318" s="220"/>
      <c r="AE318" s="220" t="str">
        <f t="shared" si="247"/>
        <v>VV</v>
      </c>
      <c r="AF318" s="229"/>
      <c r="AG318" s="220" t="str">
        <f t="shared" si="248"/>
        <v>1</v>
      </c>
      <c r="AH318" s="220" t="str">
        <f t="shared" si="249"/>
        <v>1</v>
      </c>
      <c r="AI318" s="220"/>
      <c r="AJ318" s="221" t="str">
        <f t="shared" si="250"/>
        <v>1</v>
      </c>
      <c r="AK318" s="220" t="str">
        <f t="shared" si="251"/>
        <v>1.1..1</v>
      </c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</row>
    <row r="319" spans="1:61" ht="16.5" customHeight="1" outlineLevel="2">
      <c r="A319" s="207">
        <f t="shared" si="242"/>
        <v>297</v>
      </c>
      <c r="B319" s="207">
        <v>11</v>
      </c>
      <c r="C319" s="245" t="s">
        <v>1569</v>
      </c>
      <c r="D319" s="209">
        <v>13627.13033272666</v>
      </c>
      <c r="E319" s="504" t="s">
        <v>91</v>
      </c>
      <c r="F319" s="213">
        <f>Y319</f>
        <v>15526.19</v>
      </c>
      <c r="G319" s="207"/>
      <c r="H319" s="281">
        <f t="shared" si="243"/>
        <v>2012</v>
      </c>
      <c r="I319" s="212" t="s">
        <v>843</v>
      </c>
      <c r="J319" s="213">
        <v>4500</v>
      </c>
      <c r="K319" s="213">
        <v>0</v>
      </c>
      <c r="L319" s="213">
        <v>4500</v>
      </c>
      <c r="M319" s="213">
        <f t="shared" si="244"/>
        <v>4500</v>
      </c>
      <c r="N319" s="207"/>
      <c r="O319" s="231"/>
      <c r="P319" s="230"/>
      <c r="Q319" s="230"/>
      <c r="R319" s="230"/>
      <c r="S319" s="213">
        <f t="shared" si="245"/>
        <v>0</v>
      </c>
      <c r="T319" s="216" t="s">
        <v>1076</v>
      </c>
      <c r="U319" s="227" t="s">
        <v>623</v>
      </c>
      <c r="V319" s="216">
        <v>15438.33</v>
      </c>
      <c r="W319" s="216">
        <v>87.86</v>
      </c>
      <c r="X319" s="216">
        <v>15526.19</v>
      </c>
      <c r="Y319" s="213">
        <f t="shared" si="246"/>
        <v>15526.19</v>
      </c>
      <c r="Z319" s="222">
        <v>2022</v>
      </c>
      <c r="AA319" s="228"/>
      <c r="AB319" s="218"/>
      <c r="AC319" s="220"/>
      <c r="AD319" s="220"/>
      <c r="AE319" s="220" t="str">
        <f t="shared" si="247"/>
        <v>V</v>
      </c>
      <c r="AF319" s="229"/>
      <c r="AG319" s="220" t="str">
        <f t="shared" si="248"/>
        <v>2</v>
      </c>
      <c r="AH319" s="220" t="str">
        <f t="shared" si="249"/>
        <v>1</v>
      </c>
      <c r="AI319" s="220"/>
      <c r="AJ319" s="221" t="str">
        <f t="shared" si="250"/>
        <v>1</v>
      </c>
      <c r="AK319" s="220" t="str">
        <f t="shared" si="251"/>
        <v>2.1..1</v>
      </c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</row>
    <row r="320" spans="1:61" ht="16.5" customHeight="1" outlineLevel="2">
      <c r="A320" s="207">
        <f t="shared" si="242"/>
        <v>298</v>
      </c>
      <c r="B320" s="207">
        <v>12</v>
      </c>
      <c r="C320" s="245" t="s">
        <v>1570</v>
      </c>
      <c r="D320" s="209">
        <v>7072.646832982824</v>
      </c>
      <c r="E320" s="504" t="s">
        <v>104</v>
      </c>
      <c r="F320" s="213">
        <f t="shared" ref="F320:F330" si="253">IF(M320&gt;0,M320,IF(S320&gt;0,S320,IF(Y320&gt;0,Y320,0)))</f>
        <v>9936</v>
      </c>
      <c r="G320" s="207"/>
      <c r="H320" s="281">
        <f t="shared" si="243"/>
        <v>2011</v>
      </c>
      <c r="I320" s="212" t="s">
        <v>625</v>
      </c>
      <c r="J320" s="213">
        <v>9936</v>
      </c>
      <c r="K320" s="213">
        <v>0</v>
      </c>
      <c r="L320" s="213">
        <v>9936</v>
      </c>
      <c r="M320" s="213">
        <f t="shared" si="244"/>
        <v>9936</v>
      </c>
      <c r="N320" s="207"/>
      <c r="O320" s="231"/>
      <c r="P320" s="230"/>
      <c r="Q320" s="230"/>
      <c r="R320" s="230"/>
      <c r="S320" s="213">
        <f t="shared" si="245"/>
        <v>0</v>
      </c>
      <c r="T320" s="216"/>
      <c r="U320" s="207"/>
      <c r="V320" s="216"/>
      <c r="W320" s="216"/>
      <c r="X320" s="216"/>
      <c r="Y320" s="213">
        <f t="shared" si="246"/>
        <v>0</v>
      </c>
      <c r="Z320" s="222" t="s">
        <v>1347</v>
      </c>
      <c r="AA320" s="228"/>
      <c r="AB320" s="218"/>
      <c r="AC320" s="220"/>
      <c r="AD320" s="220"/>
      <c r="AE320" s="220" t="str">
        <f t="shared" si="247"/>
        <v/>
      </c>
      <c r="AF320" s="229"/>
      <c r="AG320" s="220" t="str">
        <f t="shared" si="248"/>
        <v>2</v>
      </c>
      <c r="AH320" s="220" t="str">
        <f t="shared" si="249"/>
        <v>1</v>
      </c>
      <c r="AI320" s="220"/>
      <c r="AJ320" s="221" t="str">
        <f t="shared" si="250"/>
        <v>2</v>
      </c>
      <c r="AK320" s="220" t="str">
        <f t="shared" si="251"/>
        <v>2.1..2</v>
      </c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</row>
    <row r="321" spans="1:61" ht="16.5" customHeight="1" outlineLevel="2">
      <c r="A321" s="207">
        <f t="shared" si="242"/>
        <v>299</v>
      </c>
      <c r="B321" s="207">
        <v>13</v>
      </c>
      <c r="C321" s="245" t="s">
        <v>1571</v>
      </c>
      <c r="D321" s="209">
        <v>7319.5299253026396</v>
      </c>
      <c r="E321" s="504" t="s">
        <v>91</v>
      </c>
      <c r="F321" s="213">
        <f t="shared" si="253"/>
        <v>35850</v>
      </c>
      <c r="G321" s="207"/>
      <c r="H321" s="281" t="e">
        <f t="shared" si="243"/>
        <v>#VALUE!</v>
      </c>
      <c r="I321" s="212"/>
      <c r="J321" s="213"/>
      <c r="K321" s="213"/>
      <c r="L321" s="213"/>
      <c r="M321" s="213">
        <f t="shared" si="244"/>
        <v>0</v>
      </c>
      <c r="N321" s="207" t="s">
        <v>1076</v>
      </c>
      <c r="O321" s="231" t="s">
        <v>1572</v>
      </c>
      <c r="P321" s="230">
        <v>35850</v>
      </c>
      <c r="Q321" s="230">
        <v>0</v>
      </c>
      <c r="R321" s="230">
        <v>35850</v>
      </c>
      <c r="S321" s="213">
        <f t="shared" si="245"/>
        <v>35850</v>
      </c>
      <c r="T321" s="216"/>
      <c r="U321" s="207"/>
      <c r="V321" s="216"/>
      <c r="W321" s="216"/>
      <c r="X321" s="216"/>
      <c r="Y321" s="213">
        <f t="shared" si="246"/>
        <v>0</v>
      </c>
      <c r="Z321" s="222" t="s">
        <v>1097</v>
      </c>
      <c r="AA321" s="228"/>
      <c r="AB321" s="218"/>
      <c r="AC321" s="220"/>
      <c r="AD321" s="220"/>
      <c r="AE321" s="220" t="str">
        <f t="shared" si="247"/>
        <v>V</v>
      </c>
      <c r="AF321" s="229"/>
      <c r="AG321" s="220" t="e">
        <f t="shared" si="248"/>
        <v>#VALUE!</v>
      </c>
      <c r="AH321" s="220" t="str">
        <f t="shared" si="249"/>
        <v>2</v>
      </c>
      <c r="AI321" s="220"/>
      <c r="AJ321" s="221" t="str">
        <f t="shared" si="250"/>
        <v>1</v>
      </c>
      <c r="AK321" s="220" t="e">
        <f t="shared" si="251"/>
        <v>#VALUE!</v>
      </c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</row>
    <row r="322" spans="1:61" ht="16.5" customHeight="1" outlineLevel="2">
      <c r="A322" s="207">
        <f t="shared" si="242"/>
        <v>300</v>
      </c>
      <c r="B322" s="207">
        <v>14</v>
      </c>
      <c r="C322" s="245" t="s">
        <v>1573</v>
      </c>
      <c r="D322" s="209">
        <v>10256.396143839016</v>
      </c>
      <c r="E322" s="504" t="s">
        <v>91</v>
      </c>
      <c r="F322" s="213">
        <f t="shared" si="253"/>
        <v>16310.98</v>
      </c>
      <c r="G322" s="207"/>
      <c r="H322" s="281" t="e">
        <f t="shared" si="243"/>
        <v>#VALUE!</v>
      </c>
      <c r="I322" s="212"/>
      <c r="J322" s="213"/>
      <c r="K322" s="213"/>
      <c r="L322" s="213"/>
      <c r="M322" s="213">
        <f t="shared" si="244"/>
        <v>0</v>
      </c>
      <c r="N322" s="207"/>
      <c r="O322" s="231"/>
      <c r="P322" s="230"/>
      <c r="Q322" s="230"/>
      <c r="R322" s="230"/>
      <c r="S322" s="213">
        <f t="shared" si="245"/>
        <v>0</v>
      </c>
      <c r="T322" s="216" t="s">
        <v>1076</v>
      </c>
      <c r="U322" s="507" t="s">
        <v>629</v>
      </c>
      <c r="V322" s="232">
        <v>16310.98</v>
      </c>
      <c r="W322" s="233">
        <v>184.47</v>
      </c>
      <c r="X322" s="216"/>
      <c r="Y322" s="213">
        <f t="shared" si="246"/>
        <v>16310.98</v>
      </c>
      <c r="Z322" s="222">
        <v>2022</v>
      </c>
      <c r="AA322" s="228"/>
      <c r="AB322" s="218"/>
      <c r="AC322" s="220"/>
      <c r="AD322" s="220"/>
      <c r="AE322" s="220" t="str">
        <f t="shared" si="247"/>
        <v>V</v>
      </c>
      <c r="AF322" s="229"/>
      <c r="AG322" s="220" t="e">
        <f t="shared" si="248"/>
        <v>#VALUE!</v>
      </c>
      <c r="AH322" s="220" t="str">
        <f t="shared" si="249"/>
        <v>2</v>
      </c>
      <c r="AI322" s="220"/>
      <c r="AJ322" s="221" t="str">
        <f t="shared" si="250"/>
        <v>1</v>
      </c>
      <c r="AK322" s="220" t="e">
        <f t="shared" si="251"/>
        <v>#VALUE!</v>
      </c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</row>
    <row r="323" spans="1:61" ht="16.5" customHeight="1" outlineLevel="2">
      <c r="A323" s="207">
        <f t="shared" si="242"/>
        <v>301</v>
      </c>
      <c r="B323" s="207">
        <v>15</v>
      </c>
      <c r="C323" s="245" t="s">
        <v>1574</v>
      </c>
      <c r="D323" s="209">
        <v>2387.6784156206354</v>
      </c>
      <c r="E323" s="504" t="s">
        <v>104</v>
      </c>
      <c r="F323" s="213">
        <f t="shared" si="253"/>
        <v>15574</v>
      </c>
      <c r="G323" s="207"/>
      <c r="H323" s="281">
        <f t="shared" si="243"/>
        <v>2011</v>
      </c>
      <c r="I323" s="212" t="s">
        <v>631</v>
      </c>
      <c r="J323" s="213">
        <v>15574</v>
      </c>
      <c r="K323" s="213">
        <v>0</v>
      </c>
      <c r="L323" s="213">
        <v>15574</v>
      </c>
      <c r="M323" s="213">
        <f t="shared" si="244"/>
        <v>15574</v>
      </c>
      <c r="N323" s="207"/>
      <c r="O323" s="231"/>
      <c r="P323" s="230"/>
      <c r="Q323" s="230"/>
      <c r="R323" s="230"/>
      <c r="S323" s="213">
        <f t="shared" si="245"/>
        <v>0</v>
      </c>
      <c r="T323" s="216"/>
      <c r="U323" s="207"/>
      <c r="V323" s="216"/>
      <c r="W323" s="216"/>
      <c r="X323" s="216"/>
      <c r="Y323" s="213">
        <f t="shared" si="246"/>
        <v>0</v>
      </c>
      <c r="Z323" s="222" t="s">
        <v>1097</v>
      </c>
      <c r="AA323" s="228"/>
      <c r="AB323" s="218"/>
      <c r="AC323" s="220"/>
      <c r="AD323" s="220"/>
      <c r="AE323" s="220" t="str">
        <f t="shared" si="247"/>
        <v/>
      </c>
      <c r="AF323" s="229"/>
      <c r="AG323" s="220" t="str">
        <f t="shared" si="248"/>
        <v>2</v>
      </c>
      <c r="AH323" s="220" t="str">
        <f t="shared" si="249"/>
        <v>1</v>
      </c>
      <c r="AI323" s="220"/>
      <c r="AJ323" s="221" t="str">
        <f t="shared" si="250"/>
        <v>2</v>
      </c>
      <c r="AK323" s="220" t="str">
        <f t="shared" si="251"/>
        <v>2.1..2</v>
      </c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</row>
    <row r="324" spans="1:61" ht="16.5" customHeight="1" outlineLevel="2">
      <c r="A324" s="207">
        <f t="shared" si="242"/>
        <v>302</v>
      </c>
      <c r="B324" s="207">
        <v>16</v>
      </c>
      <c r="C324" s="245" t="s">
        <v>1575</v>
      </c>
      <c r="D324" s="209">
        <v>2011.5256646659145</v>
      </c>
      <c r="E324" s="504" t="s">
        <v>91</v>
      </c>
      <c r="F324" s="213">
        <f t="shared" si="253"/>
        <v>1906.8</v>
      </c>
      <c r="G324" s="207"/>
      <c r="H324" s="281" t="e">
        <f t="shared" si="243"/>
        <v>#VALUE!</v>
      </c>
      <c r="I324" s="212"/>
      <c r="J324" s="213"/>
      <c r="K324" s="213"/>
      <c r="L324" s="213"/>
      <c r="M324" s="213">
        <f t="shared" si="244"/>
        <v>0</v>
      </c>
      <c r="N324" s="207" t="s">
        <v>1076</v>
      </c>
      <c r="O324" s="231" t="s">
        <v>633</v>
      </c>
      <c r="P324" s="230">
        <v>1906.8</v>
      </c>
      <c r="Q324" s="230">
        <v>0</v>
      </c>
      <c r="R324" s="230">
        <v>1906.8</v>
      </c>
      <c r="S324" s="213">
        <f t="shared" si="245"/>
        <v>1906.8</v>
      </c>
      <c r="T324" s="216"/>
      <c r="U324" s="207"/>
      <c r="V324" s="216"/>
      <c r="W324" s="216"/>
      <c r="X324" s="216"/>
      <c r="Y324" s="213">
        <f t="shared" si="246"/>
        <v>0</v>
      </c>
      <c r="Z324" s="222">
        <v>2020</v>
      </c>
      <c r="AA324" s="228"/>
      <c r="AB324" s="218"/>
      <c r="AC324" s="220"/>
      <c r="AD324" s="220"/>
      <c r="AE324" s="220" t="str">
        <f t="shared" si="247"/>
        <v>V</v>
      </c>
      <c r="AF324" s="229"/>
      <c r="AG324" s="220" t="e">
        <f t="shared" si="248"/>
        <v>#VALUE!</v>
      </c>
      <c r="AH324" s="220" t="str">
        <f t="shared" si="249"/>
        <v>2</v>
      </c>
      <c r="AI324" s="220"/>
      <c r="AJ324" s="221" t="str">
        <f t="shared" si="250"/>
        <v>1</v>
      </c>
      <c r="AK324" s="220" t="e">
        <f t="shared" si="251"/>
        <v>#VALUE!</v>
      </c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</row>
    <row r="325" spans="1:61" ht="16.5" customHeight="1" outlineLevel="2">
      <c r="A325" s="207">
        <f t="shared" si="242"/>
        <v>303</v>
      </c>
      <c r="B325" s="207">
        <v>17</v>
      </c>
      <c r="C325" s="245" t="s">
        <v>1576</v>
      </c>
      <c r="D325" s="209">
        <v>7800.4290917860417</v>
      </c>
      <c r="E325" s="504" t="s">
        <v>661</v>
      </c>
      <c r="F325" s="213">
        <f t="shared" si="253"/>
        <v>0</v>
      </c>
      <c r="G325" s="207"/>
      <c r="H325" s="281" t="e">
        <f t="shared" si="243"/>
        <v>#VALUE!</v>
      </c>
      <c r="I325" s="212"/>
      <c r="J325" s="213"/>
      <c r="K325" s="213"/>
      <c r="L325" s="213"/>
      <c r="M325" s="213">
        <f t="shared" si="244"/>
        <v>0</v>
      </c>
      <c r="N325" s="207"/>
      <c r="O325" s="231"/>
      <c r="P325" s="230"/>
      <c r="Q325" s="230"/>
      <c r="R325" s="230"/>
      <c r="S325" s="213">
        <f t="shared" si="245"/>
        <v>0</v>
      </c>
      <c r="T325" s="216"/>
      <c r="U325" s="207"/>
      <c r="V325" s="216"/>
      <c r="W325" s="216"/>
      <c r="X325" s="216"/>
      <c r="Y325" s="213">
        <f t="shared" si="246"/>
        <v>0</v>
      </c>
      <c r="Z325" s="222" t="s">
        <v>1129</v>
      </c>
      <c r="AA325" s="228" t="s">
        <v>1090</v>
      </c>
      <c r="AB325" s="218"/>
      <c r="AC325" s="220"/>
      <c r="AD325" s="220"/>
      <c r="AE325" s="220" t="str">
        <f t="shared" si="247"/>
        <v/>
      </c>
      <c r="AF325" s="229"/>
      <c r="AG325" s="220" t="e">
        <f t="shared" si="248"/>
        <v>#VALUE!</v>
      </c>
      <c r="AH325" s="220" t="str">
        <f t="shared" si="249"/>
        <v>2</v>
      </c>
      <c r="AI325" s="220"/>
      <c r="AJ325" s="221" t="str">
        <f t="shared" si="250"/>
        <v>2</v>
      </c>
      <c r="AK325" s="220" t="e">
        <f t="shared" si="251"/>
        <v>#VALUE!</v>
      </c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</row>
    <row r="326" spans="1:61" ht="16.5" customHeight="1" outlineLevel="2">
      <c r="A326" s="207">
        <f t="shared" si="242"/>
        <v>304</v>
      </c>
      <c r="B326" s="207">
        <v>18</v>
      </c>
      <c r="C326" s="245" t="s">
        <v>1577</v>
      </c>
      <c r="D326" s="209">
        <v>6390.092146617103</v>
      </c>
      <c r="E326" s="504" t="s">
        <v>661</v>
      </c>
      <c r="F326" s="213">
        <f t="shared" si="253"/>
        <v>0</v>
      </c>
      <c r="G326" s="207"/>
      <c r="H326" s="281" t="e">
        <f t="shared" si="243"/>
        <v>#VALUE!</v>
      </c>
      <c r="I326" s="212"/>
      <c r="J326" s="213"/>
      <c r="K326" s="213"/>
      <c r="L326" s="213"/>
      <c r="M326" s="213">
        <f t="shared" si="244"/>
        <v>0</v>
      </c>
      <c r="N326" s="207"/>
      <c r="O326" s="231"/>
      <c r="P326" s="230"/>
      <c r="Q326" s="230"/>
      <c r="R326" s="230"/>
      <c r="S326" s="213">
        <f t="shared" si="245"/>
        <v>0</v>
      </c>
      <c r="T326" s="216"/>
      <c r="U326" s="207"/>
      <c r="V326" s="216"/>
      <c r="W326" s="216"/>
      <c r="X326" s="216"/>
      <c r="Y326" s="213">
        <f t="shared" si="246"/>
        <v>0</v>
      </c>
      <c r="Z326" s="222" t="s">
        <v>1129</v>
      </c>
      <c r="AA326" s="228" t="s">
        <v>1090</v>
      </c>
      <c r="AB326" s="218"/>
      <c r="AC326" s="220"/>
      <c r="AD326" s="220"/>
      <c r="AE326" s="220" t="str">
        <f t="shared" si="247"/>
        <v/>
      </c>
      <c r="AF326" s="229"/>
      <c r="AG326" s="220" t="e">
        <f t="shared" si="248"/>
        <v>#VALUE!</v>
      </c>
      <c r="AH326" s="220" t="str">
        <f t="shared" si="249"/>
        <v>2</v>
      </c>
      <c r="AI326" s="220"/>
      <c r="AJ326" s="221" t="str">
        <f t="shared" si="250"/>
        <v>2</v>
      </c>
      <c r="AK326" s="220" t="e">
        <f t="shared" si="251"/>
        <v>#VALUE!</v>
      </c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</row>
    <row r="327" spans="1:61" ht="16.5" customHeight="1" outlineLevel="2">
      <c r="A327" s="207">
        <f t="shared" si="242"/>
        <v>305</v>
      </c>
      <c r="B327" s="207">
        <v>19</v>
      </c>
      <c r="C327" s="245" t="s">
        <v>1578</v>
      </c>
      <c r="D327" s="209">
        <v>6399.8942205003495</v>
      </c>
      <c r="E327" s="504" t="s">
        <v>91</v>
      </c>
      <c r="F327" s="213">
        <f t="shared" si="253"/>
        <v>5816</v>
      </c>
      <c r="G327" s="207" t="s">
        <v>1076</v>
      </c>
      <c r="H327" s="223">
        <f t="shared" si="243"/>
        <v>2020</v>
      </c>
      <c r="I327" s="248" t="s">
        <v>145</v>
      </c>
      <c r="J327" s="246">
        <v>0</v>
      </c>
      <c r="K327" s="246">
        <v>0</v>
      </c>
      <c r="L327" s="246">
        <v>5816</v>
      </c>
      <c r="M327" s="213">
        <f t="shared" si="244"/>
        <v>5816</v>
      </c>
      <c r="N327" s="207"/>
      <c r="O327" s="231"/>
      <c r="P327" s="230"/>
      <c r="Q327" s="230"/>
      <c r="R327" s="230"/>
      <c r="S327" s="213">
        <f t="shared" si="245"/>
        <v>0</v>
      </c>
      <c r="T327" s="216"/>
      <c r="U327" s="207"/>
      <c r="V327" s="216"/>
      <c r="W327" s="216"/>
      <c r="X327" s="216"/>
      <c r="Y327" s="213">
        <f t="shared" si="246"/>
        <v>0</v>
      </c>
      <c r="Z327" s="222">
        <v>2023</v>
      </c>
      <c r="AA327" s="228" t="s">
        <v>1090</v>
      </c>
      <c r="AB327" s="218"/>
      <c r="AC327" s="220"/>
      <c r="AD327" s="220"/>
      <c r="AE327" s="220" t="str">
        <f t="shared" si="247"/>
        <v>V</v>
      </c>
      <c r="AF327" s="229"/>
      <c r="AG327" s="220" t="str">
        <f t="shared" si="248"/>
        <v>1</v>
      </c>
      <c r="AH327" s="220" t="str">
        <f t="shared" si="249"/>
        <v>1</v>
      </c>
      <c r="AI327" s="220"/>
      <c r="AJ327" s="221" t="str">
        <f t="shared" si="250"/>
        <v>2</v>
      </c>
      <c r="AK327" s="220" t="str">
        <f t="shared" si="251"/>
        <v>1.1..2</v>
      </c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</row>
    <row r="328" spans="1:61" ht="16.5" customHeight="1" outlineLevel="2">
      <c r="A328" s="207">
        <f t="shared" si="242"/>
        <v>306</v>
      </c>
      <c r="B328" s="207">
        <v>20</v>
      </c>
      <c r="C328" s="245" t="s">
        <v>1579</v>
      </c>
      <c r="D328" s="209">
        <v>16474.383957999355</v>
      </c>
      <c r="E328" s="504" t="s">
        <v>91</v>
      </c>
      <c r="F328" s="213">
        <f t="shared" si="253"/>
        <v>34678.949999999997</v>
      </c>
      <c r="G328" s="207"/>
      <c r="H328" s="223" t="e">
        <f t="shared" si="243"/>
        <v>#VALUE!</v>
      </c>
      <c r="I328" s="248"/>
      <c r="J328" s="246"/>
      <c r="K328" s="246"/>
      <c r="L328" s="246"/>
      <c r="M328" s="213">
        <f t="shared" si="244"/>
        <v>0</v>
      </c>
      <c r="N328" s="207"/>
      <c r="O328" s="231"/>
      <c r="P328" s="230"/>
      <c r="Q328" s="230"/>
      <c r="R328" s="230"/>
      <c r="S328" s="213">
        <f t="shared" si="245"/>
        <v>0</v>
      </c>
      <c r="T328" s="216" t="s">
        <v>1076</v>
      </c>
      <c r="U328" s="507" t="s">
        <v>639</v>
      </c>
      <c r="V328" s="299">
        <v>34678.949999999997</v>
      </c>
      <c r="W328" s="216"/>
      <c r="X328" s="216">
        <f>V328</f>
        <v>34678.949999999997</v>
      </c>
      <c r="Y328" s="213">
        <f t="shared" si="246"/>
        <v>34678.949999999997</v>
      </c>
      <c r="Z328" s="222">
        <v>2022</v>
      </c>
      <c r="AA328" s="228"/>
      <c r="AB328" s="218"/>
      <c r="AC328" s="220"/>
      <c r="AD328" s="220"/>
      <c r="AE328" s="220" t="str">
        <f t="shared" si="247"/>
        <v>V</v>
      </c>
      <c r="AF328" s="229"/>
      <c r="AG328" s="220" t="e">
        <f t="shared" si="248"/>
        <v>#VALUE!</v>
      </c>
      <c r="AH328" s="220" t="str">
        <f t="shared" si="249"/>
        <v>2</v>
      </c>
      <c r="AI328" s="220"/>
      <c r="AJ328" s="221" t="str">
        <f t="shared" si="250"/>
        <v>1</v>
      </c>
      <c r="AK328" s="220" t="e">
        <f t="shared" si="251"/>
        <v>#VALUE!</v>
      </c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</row>
    <row r="329" spans="1:61" ht="16.5" customHeight="1" outlineLevel="2">
      <c r="A329" s="207">
        <f t="shared" si="242"/>
        <v>307</v>
      </c>
      <c r="B329" s="207">
        <v>21</v>
      </c>
      <c r="C329" s="245" t="s">
        <v>1580</v>
      </c>
      <c r="D329" s="209">
        <v>5256.3627807396306</v>
      </c>
      <c r="E329" s="504" t="s">
        <v>104</v>
      </c>
      <c r="F329" s="213">
        <f t="shared" si="253"/>
        <v>18335</v>
      </c>
      <c r="G329" s="207"/>
      <c r="H329" s="281">
        <f t="shared" si="243"/>
        <v>2012</v>
      </c>
      <c r="I329" s="212" t="s">
        <v>198</v>
      </c>
      <c r="J329" s="213">
        <v>18335</v>
      </c>
      <c r="K329" s="213">
        <v>0</v>
      </c>
      <c r="L329" s="213">
        <v>18335</v>
      </c>
      <c r="M329" s="213">
        <f t="shared" si="244"/>
        <v>18335</v>
      </c>
      <c r="N329" s="207"/>
      <c r="O329" s="231"/>
      <c r="P329" s="230"/>
      <c r="Q329" s="230"/>
      <c r="R329" s="230"/>
      <c r="S329" s="213">
        <f t="shared" si="245"/>
        <v>0</v>
      </c>
      <c r="T329" s="216"/>
      <c r="U329" s="207"/>
      <c r="V329" s="216"/>
      <c r="W329" s="216"/>
      <c r="X329" s="216"/>
      <c r="Y329" s="213">
        <f t="shared" si="246"/>
        <v>0</v>
      </c>
      <c r="Z329" s="222">
        <v>2023</v>
      </c>
      <c r="AA329" s="228" t="s">
        <v>1090</v>
      </c>
      <c r="AB329" s="218"/>
      <c r="AC329" s="220"/>
      <c r="AD329" s="220"/>
      <c r="AE329" s="220" t="str">
        <f t="shared" si="247"/>
        <v/>
      </c>
      <c r="AF329" s="229"/>
      <c r="AG329" s="220" t="str">
        <f t="shared" si="248"/>
        <v>2</v>
      </c>
      <c r="AH329" s="220" t="str">
        <f t="shared" si="249"/>
        <v>1</v>
      </c>
      <c r="AI329" s="220"/>
      <c r="AJ329" s="221" t="str">
        <f t="shared" si="250"/>
        <v>2</v>
      </c>
      <c r="AK329" s="220" t="str">
        <f t="shared" si="251"/>
        <v>2.1..2</v>
      </c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</row>
    <row r="330" spans="1:61" ht="16.5" customHeight="1" outlineLevel="2">
      <c r="A330" s="207">
        <f t="shared" si="242"/>
        <v>308</v>
      </c>
      <c r="B330" s="207">
        <v>22</v>
      </c>
      <c r="C330" s="245" t="s">
        <v>1581</v>
      </c>
      <c r="D330" s="209">
        <v>8421.2263183102386</v>
      </c>
      <c r="E330" s="504" t="s">
        <v>661</v>
      </c>
      <c r="F330" s="213">
        <f t="shared" si="253"/>
        <v>0</v>
      </c>
      <c r="G330" s="207"/>
      <c r="H330" s="281" t="e">
        <f t="shared" si="243"/>
        <v>#VALUE!</v>
      </c>
      <c r="I330" s="212"/>
      <c r="J330" s="213"/>
      <c r="K330" s="213"/>
      <c r="L330" s="213"/>
      <c r="M330" s="213">
        <f t="shared" si="244"/>
        <v>0</v>
      </c>
      <c r="N330" s="207"/>
      <c r="O330" s="231"/>
      <c r="P330" s="230"/>
      <c r="Q330" s="230"/>
      <c r="R330" s="230"/>
      <c r="S330" s="213">
        <f t="shared" si="245"/>
        <v>0</v>
      </c>
      <c r="T330" s="216"/>
      <c r="U330" s="207"/>
      <c r="V330" s="216"/>
      <c r="W330" s="216"/>
      <c r="X330" s="216"/>
      <c r="Y330" s="213">
        <f t="shared" si="246"/>
        <v>0</v>
      </c>
      <c r="Z330" s="222">
        <v>2023</v>
      </c>
      <c r="AA330" s="228" t="s">
        <v>1090</v>
      </c>
      <c r="AB330" s="218"/>
      <c r="AC330" s="220"/>
      <c r="AD330" s="220"/>
      <c r="AE330" s="220" t="str">
        <f t="shared" si="247"/>
        <v/>
      </c>
      <c r="AF330" s="229"/>
      <c r="AG330" s="220" t="e">
        <f t="shared" si="248"/>
        <v>#VALUE!</v>
      </c>
      <c r="AH330" s="220" t="str">
        <f t="shared" si="249"/>
        <v>2</v>
      </c>
      <c r="AI330" s="220"/>
      <c r="AJ330" s="221" t="str">
        <f t="shared" si="250"/>
        <v>2</v>
      </c>
      <c r="AK330" s="220" t="e">
        <f t="shared" si="251"/>
        <v>#VALUE!</v>
      </c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</row>
    <row r="331" spans="1:61" ht="16.5" customHeight="1" outlineLevel="1">
      <c r="A331" s="207"/>
      <c r="B331" s="235"/>
      <c r="C331" s="249" t="s">
        <v>1582</v>
      </c>
      <c r="D331" s="250"/>
      <c r="E331" s="238">
        <f>COUNTIF(E309:E330,"D") + COUNTIF(E309:E330,"DS")</f>
        <v>15</v>
      </c>
      <c r="F331" s="254">
        <f>SUBTOTAL(9,F309:F329)</f>
        <v>458808.04</v>
      </c>
      <c r="G331" s="201"/>
      <c r="H331" s="240"/>
      <c r="I331" s="264"/>
      <c r="J331" s="254">
        <f t="shared" ref="J331:S331" si="254">SUBTOTAL(9,J309:J329)</f>
        <v>57780</v>
      </c>
      <c r="K331" s="254">
        <f t="shared" si="254"/>
        <v>0</v>
      </c>
      <c r="L331" s="254">
        <f t="shared" si="254"/>
        <v>86564</v>
      </c>
      <c r="M331" s="254">
        <f t="shared" si="254"/>
        <v>86564</v>
      </c>
      <c r="N331" s="254">
        <f t="shared" si="254"/>
        <v>0</v>
      </c>
      <c r="O331" s="254">
        <f t="shared" si="254"/>
        <v>0</v>
      </c>
      <c r="P331" s="254">
        <f t="shared" si="254"/>
        <v>312390.10000000003</v>
      </c>
      <c r="Q331" s="254">
        <f t="shared" si="254"/>
        <v>27992.59</v>
      </c>
      <c r="R331" s="254">
        <f t="shared" si="254"/>
        <v>37756.800000000003</v>
      </c>
      <c r="S331" s="254">
        <f t="shared" si="254"/>
        <v>312390.10000000003</v>
      </c>
      <c r="T331" s="254">
        <v>4</v>
      </c>
      <c r="U331" s="254">
        <v>4</v>
      </c>
      <c r="V331" s="254">
        <f t="shared" ref="V331:Y331" si="255">SUBTOTAL(9,V309:V329)</f>
        <v>95228.5</v>
      </c>
      <c r="W331" s="254">
        <f t="shared" si="255"/>
        <v>26649.940000000002</v>
      </c>
      <c r="X331" s="254">
        <f t="shared" si="255"/>
        <v>86630.34</v>
      </c>
      <c r="Y331" s="254">
        <f t="shared" si="255"/>
        <v>119833.77999999998</v>
      </c>
      <c r="Z331" s="243" t="s">
        <v>1138</v>
      </c>
      <c r="AA331" s="228"/>
      <c r="AB331" s="218"/>
      <c r="AC331" s="220"/>
      <c r="AD331" s="220"/>
      <c r="AE331" s="244">
        <f>COUNTIF(AE309:AE330,"V") + COUNTIF(AE309:AE330,"VV") + COUNTIF(AE309:AE330,"VVV")</f>
        <v>12</v>
      </c>
      <c r="AF331" s="229"/>
      <c r="AG331" s="220"/>
      <c r="AH331" s="220"/>
      <c r="AI331" s="220"/>
      <c r="AJ331" s="221"/>
      <c r="AK331" s="220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</row>
    <row r="332" spans="1:61" ht="16.5" customHeight="1" outlineLevel="1">
      <c r="A332" s="207">
        <f t="shared" ref="A332:A345" si="256">SUBTOTAL(3,$B$6:B332)</f>
        <v>309</v>
      </c>
      <c r="B332" s="207">
        <v>1</v>
      </c>
      <c r="C332" s="208" t="s">
        <v>1583</v>
      </c>
      <c r="D332" s="300">
        <v>10500.009330164456</v>
      </c>
      <c r="E332" s="504" t="s">
        <v>91</v>
      </c>
      <c r="F332" s="213">
        <f t="shared" ref="F332:F345" si="257">IF(M332&gt;0,M332,IF(S332&gt;0,S332,IF(Y332&gt;0,Y332,0)))</f>
        <v>51932.81</v>
      </c>
      <c r="G332" s="207"/>
      <c r="H332" s="281">
        <f t="shared" ref="H332:H345" si="258">VALUE(RIGHT(I332,4))</f>
        <v>2014</v>
      </c>
      <c r="I332" s="212" t="s">
        <v>147</v>
      </c>
      <c r="J332" s="213"/>
      <c r="K332" s="213"/>
      <c r="L332" s="213"/>
      <c r="M332" s="213">
        <f t="shared" ref="M332:M345" si="259">IF(L332&gt;0,L332,IF(J332&gt;0,J332,0))</f>
        <v>0</v>
      </c>
      <c r="N332" s="207"/>
      <c r="O332" s="231"/>
      <c r="P332" s="230"/>
      <c r="Q332" s="230"/>
      <c r="R332" s="230"/>
      <c r="S332" s="213">
        <f t="shared" ref="S332:S341" si="260">IF(R332&gt;0,R332,IF(P332&gt;0,P332,0))</f>
        <v>0</v>
      </c>
      <c r="T332" s="216" t="s">
        <v>1076</v>
      </c>
      <c r="U332" s="227" t="s">
        <v>645</v>
      </c>
      <c r="V332" s="216">
        <v>8341.99</v>
      </c>
      <c r="W332" s="216">
        <v>43590.82</v>
      </c>
      <c r="X332" s="216">
        <f>V332+W332</f>
        <v>51932.81</v>
      </c>
      <c r="Y332" s="213">
        <f t="shared" ref="Y332:Y345" si="261">IF(X332&gt;0,X332,IF(V332&gt;0,V332,0))</f>
        <v>51932.81</v>
      </c>
      <c r="Z332" s="222">
        <v>2022</v>
      </c>
      <c r="AA332" s="228"/>
      <c r="AB332" s="218"/>
      <c r="AC332" s="220"/>
      <c r="AD332" s="220"/>
      <c r="AE332" s="220" t="str">
        <f t="shared" ref="AE332:AE345" si="262">CONCATENATE(G332,N332,T332)</f>
        <v>V</v>
      </c>
      <c r="AF332" s="229"/>
      <c r="AG332" s="220" t="str">
        <f t="shared" ref="AG332:AG345" si="263">IF(H332=0,"3",IF(H332&lt;=2018,"2","1"))</f>
        <v>2</v>
      </c>
      <c r="AH332" s="220" t="str">
        <f t="shared" ref="AH332:AH345" si="264">IF(M332&gt;0,"1","2")</f>
        <v>2</v>
      </c>
      <c r="AI332" s="220">
        <v>1</v>
      </c>
      <c r="AJ332" s="221" t="str">
        <f t="shared" ref="AJ332:AJ345" si="265">IF(S332&gt;0,"1",IF(Y332&gt;0,"1","2"))</f>
        <v>1</v>
      </c>
      <c r="AK332" s="220" t="str">
        <f t="shared" ref="AK332:AK345" si="266">CONCATENATE(AG332,".",AH332,".",AI332,".",AJ332)</f>
        <v>2.2.1.1</v>
      </c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</row>
    <row r="333" spans="1:61" ht="16.5" customHeight="1" outlineLevel="1">
      <c r="A333" s="207">
        <f t="shared" si="256"/>
        <v>310</v>
      </c>
      <c r="B333" s="207">
        <v>2</v>
      </c>
      <c r="C333" s="208" t="s">
        <v>1584</v>
      </c>
      <c r="D333" s="300">
        <v>12458.903367377237</v>
      </c>
      <c r="E333" s="504" t="s">
        <v>661</v>
      </c>
      <c r="F333" s="213">
        <f t="shared" si="257"/>
        <v>0</v>
      </c>
      <c r="G333" s="207"/>
      <c r="H333" s="281" t="e">
        <f t="shared" si="258"/>
        <v>#VALUE!</v>
      </c>
      <c r="I333" s="212"/>
      <c r="J333" s="213"/>
      <c r="K333" s="213"/>
      <c r="L333" s="213"/>
      <c r="M333" s="213">
        <f t="shared" si="259"/>
        <v>0</v>
      </c>
      <c r="N333" s="207"/>
      <c r="O333" s="231"/>
      <c r="P333" s="230"/>
      <c r="Q333" s="230"/>
      <c r="R333" s="230"/>
      <c r="S333" s="213">
        <f t="shared" si="260"/>
        <v>0</v>
      </c>
      <c r="T333" s="216"/>
      <c r="U333" s="207"/>
      <c r="V333" s="216"/>
      <c r="W333" s="216"/>
      <c r="X333" s="216"/>
      <c r="Y333" s="213">
        <f t="shared" si="261"/>
        <v>0</v>
      </c>
      <c r="Z333" s="222" t="s">
        <v>1097</v>
      </c>
      <c r="AA333" s="228"/>
      <c r="AB333" s="218"/>
      <c r="AC333" s="220"/>
      <c r="AD333" s="220"/>
      <c r="AE333" s="220" t="str">
        <f t="shared" si="262"/>
        <v/>
      </c>
      <c r="AF333" s="229"/>
      <c r="AG333" s="220" t="e">
        <f t="shared" si="263"/>
        <v>#VALUE!</v>
      </c>
      <c r="AH333" s="220" t="str">
        <f t="shared" si="264"/>
        <v>2</v>
      </c>
      <c r="AI333" s="220"/>
      <c r="AJ333" s="221" t="str">
        <f t="shared" si="265"/>
        <v>2</v>
      </c>
      <c r="AK333" s="220" t="e">
        <f t="shared" si="266"/>
        <v>#VALUE!</v>
      </c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</row>
    <row r="334" spans="1:61" ht="16.5" customHeight="1" outlineLevel="1">
      <c r="A334" s="207">
        <f t="shared" si="256"/>
        <v>311</v>
      </c>
      <c r="B334" s="207">
        <v>3</v>
      </c>
      <c r="C334" s="208" t="s">
        <v>1585</v>
      </c>
      <c r="D334" s="300">
        <v>12592.611472418303</v>
      </c>
      <c r="E334" s="504" t="s">
        <v>91</v>
      </c>
      <c r="F334" s="213">
        <f t="shared" si="257"/>
        <v>10129.370000000001</v>
      </c>
      <c r="G334" s="207"/>
      <c r="H334" s="281" t="e">
        <f t="shared" si="258"/>
        <v>#VALUE!</v>
      </c>
      <c r="I334" s="212"/>
      <c r="J334" s="213"/>
      <c r="K334" s="213"/>
      <c r="L334" s="213"/>
      <c r="M334" s="213">
        <f t="shared" si="259"/>
        <v>0</v>
      </c>
      <c r="N334" s="207"/>
      <c r="O334" s="231"/>
      <c r="P334" s="230"/>
      <c r="Q334" s="230"/>
      <c r="R334" s="230"/>
      <c r="S334" s="213">
        <f t="shared" si="260"/>
        <v>0</v>
      </c>
      <c r="T334" s="216" t="s">
        <v>1076</v>
      </c>
      <c r="U334" s="227" t="s">
        <v>649</v>
      </c>
      <c r="V334" s="216">
        <v>8161.45</v>
      </c>
      <c r="W334" s="216">
        <v>1967.92</v>
      </c>
      <c r="X334" s="216">
        <v>10129.370000000001</v>
      </c>
      <c r="Y334" s="213">
        <f t="shared" si="261"/>
        <v>10129.370000000001</v>
      </c>
      <c r="Z334" s="222">
        <v>2022</v>
      </c>
      <c r="AA334" s="228"/>
      <c r="AB334" s="218"/>
      <c r="AC334" s="220"/>
      <c r="AD334" s="220"/>
      <c r="AE334" s="220" t="str">
        <f t="shared" si="262"/>
        <v>V</v>
      </c>
      <c r="AF334" s="229"/>
      <c r="AG334" s="220" t="e">
        <f t="shared" si="263"/>
        <v>#VALUE!</v>
      </c>
      <c r="AH334" s="220" t="str">
        <f t="shared" si="264"/>
        <v>2</v>
      </c>
      <c r="AI334" s="220"/>
      <c r="AJ334" s="221" t="str">
        <f t="shared" si="265"/>
        <v>1</v>
      </c>
      <c r="AK334" s="220" t="e">
        <f t="shared" si="266"/>
        <v>#VALUE!</v>
      </c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</row>
    <row r="335" spans="1:61" ht="16.5" customHeight="1" outlineLevel="1">
      <c r="A335" s="207">
        <f t="shared" si="256"/>
        <v>312</v>
      </c>
      <c r="B335" s="207">
        <v>4</v>
      </c>
      <c r="C335" s="208" t="s">
        <v>1586</v>
      </c>
      <c r="D335" s="300">
        <v>32525.122046505749</v>
      </c>
      <c r="E335" s="504" t="s">
        <v>661</v>
      </c>
      <c r="F335" s="213">
        <f t="shared" si="257"/>
        <v>0</v>
      </c>
      <c r="G335" s="207"/>
      <c r="H335" s="281" t="e">
        <f t="shared" si="258"/>
        <v>#VALUE!</v>
      </c>
      <c r="I335" s="212"/>
      <c r="J335" s="213"/>
      <c r="K335" s="213"/>
      <c r="L335" s="213"/>
      <c r="M335" s="213">
        <f t="shared" si="259"/>
        <v>0</v>
      </c>
      <c r="N335" s="207"/>
      <c r="O335" s="231"/>
      <c r="P335" s="230"/>
      <c r="Q335" s="230"/>
      <c r="R335" s="230"/>
      <c r="S335" s="213">
        <f t="shared" si="260"/>
        <v>0</v>
      </c>
      <c r="T335" s="216"/>
      <c r="U335" s="207"/>
      <c r="V335" s="216"/>
      <c r="W335" s="216"/>
      <c r="X335" s="216"/>
      <c r="Y335" s="213">
        <f t="shared" si="261"/>
        <v>0</v>
      </c>
      <c r="Z335" s="222">
        <v>2023</v>
      </c>
      <c r="AA335" s="228" t="s">
        <v>1160</v>
      </c>
      <c r="AB335" s="218"/>
      <c r="AC335" s="220"/>
      <c r="AD335" s="220"/>
      <c r="AE335" s="220" t="str">
        <f t="shared" si="262"/>
        <v/>
      </c>
      <c r="AF335" s="229"/>
      <c r="AG335" s="220" t="e">
        <f t="shared" si="263"/>
        <v>#VALUE!</v>
      </c>
      <c r="AH335" s="220" t="str">
        <f t="shared" si="264"/>
        <v>2</v>
      </c>
      <c r="AI335" s="220"/>
      <c r="AJ335" s="221" t="str">
        <f t="shared" si="265"/>
        <v>2</v>
      </c>
      <c r="AK335" s="220" t="e">
        <f t="shared" si="266"/>
        <v>#VALUE!</v>
      </c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</row>
    <row r="336" spans="1:61" ht="16.5" customHeight="1" outlineLevel="1">
      <c r="A336" s="207">
        <f t="shared" si="256"/>
        <v>313</v>
      </c>
      <c r="B336" s="207">
        <v>5</v>
      </c>
      <c r="C336" s="208" t="s">
        <v>1587</v>
      </c>
      <c r="D336" s="300">
        <v>252.7229243936309</v>
      </c>
      <c r="E336" s="504" t="s">
        <v>661</v>
      </c>
      <c r="F336" s="213">
        <f t="shared" si="257"/>
        <v>0</v>
      </c>
      <c r="G336" s="207"/>
      <c r="H336" s="281" t="e">
        <f t="shared" si="258"/>
        <v>#VALUE!</v>
      </c>
      <c r="I336" s="212"/>
      <c r="J336" s="213"/>
      <c r="K336" s="213"/>
      <c r="L336" s="213"/>
      <c r="M336" s="213">
        <f t="shared" si="259"/>
        <v>0</v>
      </c>
      <c r="N336" s="207"/>
      <c r="O336" s="231"/>
      <c r="P336" s="230"/>
      <c r="Q336" s="230"/>
      <c r="R336" s="230"/>
      <c r="S336" s="213">
        <f t="shared" si="260"/>
        <v>0</v>
      </c>
      <c r="T336" s="216"/>
      <c r="U336" s="207"/>
      <c r="V336" s="216"/>
      <c r="W336" s="216"/>
      <c r="X336" s="216"/>
      <c r="Y336" s="213">
        <f t="shared" si="261"/>
        <v>0</v>
      </c>
      <c r="Z336" s="222" t="s">
        <v>1097</v>
      </c>
      <c r="AA336" s="228"/>
      <c r="AB336" s="218"/>
      <c r="AC336" s="220"/>
      <c r="AD336" s="220"/>
      <c r="AE336" s="220" t="str">
        <f t="shared" si="262"/>
        <v/>
      </c>
      <c r="AF336" s="229"/>
      <c r="AG336" s="220" t="e">
        <f t="shared" si="263"/>
        <v>#VALUE!</v>
      </c>
      <c r="AH336" s="220" t="str">
        <f t="shared" si="264"/>
        <v>2</v>
      </c>
      <c r="AI336" s="220"/>
      <c r="AJ336" s="221" t="str">
        <f t="shared" si="265"/>
        <v>2</v>
      </c>
      <c r="AK336" s="220" t="e">
        <f t="shared" si="266"/>
        <v>#VALUE!</v>
      </c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</row>
    <row r="337" spans="1:61" ht="16.5" customHeight="1" outlineLevel="1">
      <c r="A337" s="207">
        <f t="shared" si="256"/>
        <v>314</v>
      </c>
      <c r="B337" s="207">
        <v>6</v>
      </c>
      <c r="C337" s="208" t="s">
        <v>1588</v>
      </c>
      <c r="D337" s="300">
        <v>2699.8937723652225</v>
      </c>
      <c r="E337" s="504" t="s">
        <v>661</v>
      </c>
      <c r="F337" s="213">
        <f t="shared" si="257"/>
        <v>0</v>
      </c>
      <c r="G337" s="207"/>
      <c r="H337" s="281" t="e">
        <f t="shared" si="258"/>
        <v>#VALUE!</v>
      </c>
      <c r="I337" s="212"/>
      <c r="J337" s="213"/>
      <c r="K337" s="213"/>
      <c r="L337" s="213"/>
      <c r="M337" s="213">
        <f t="shared" si="259"/>
        <v>0</v>
      </c>
      <c r="N337" s="207"/>
      <c r="O337" s="231"/>
      <c r="P337" s="230"/>
      <c r="Q337" s="230"/>
      <c r="R337" s="230"/>
      <c r="S337" s="213">
        <f t="shared" si="260"/>
        <v>0</v>
      </c>
      <c r="T337" s="216"/>
      <c r="U337" s="207"/>
      <c r="V337" s="216"/>
      <c r="W337" s="216"/>
      <c r="X337" s="216"/>
      <c r="Y337" s="213">
        <f t="shared" si="261"/>
        <v>0</v>
      </c>
      <c r="Z337" s="222" t="s">
        <v>1097</v>
      </c>
      <c r="AA337" s="228"/>
      <c r="AB337" s="218"/>
      <c r="AC337" s="220"/>
      <c r="AD337" s="220"/>
      <c r="AE337" s="220" t="str">
        <f t="shared" si="262"/>
        <v/>
      </c>
      <c r="AF337" s="229"/>
      <c r="AG337" s="220" t="e">
        <f t="shared" si="263"/>
        <v>#VALUE!</v>
      </c>
      <c r="AH337" s="220" t="str">
        <f t="shared" si="264"/>
        <v>2</v>
      </c>
      <c r="AI337" s="220"/>
      <c r="AJ337" s="221" t="str">
        <f t="shared" si="265"/>
        <v>2</v>
      </c>
      <c r="AK337" s="220" t="e">
        <f t="shared" si="266"/>
        <v>#VALUE!</v>
      </c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</row>
    <row r="338" spans="1:61" ht="16.5" customHeight="1" outlineLevel="1">
      <c r="A338" s="207">
        <f t="shared" si="256"/>
        <v>315</v>
      </c>
      <c r="B338" s="207">
        <v>7</v>
      </c>
      <c r="C338" s="208" t="s">
        <v>1589</v>
      </c>
      <c r="D338" s="300">
        <v>34869.910974943399</v>
      </c>
      <c r="E338" s="504" t="s">
        <v>91</v>
      </c>
      <c r="F338" s="213">
        <f t="shared" si="257"/>
        <v>10692.42</v>
      </c>
      <c r="G338" s="207"/>
      <c r="H338" s="281" t="e">
        <f t="shared" si="258"/>
        <v>#VALUE!</v>
      </c>
      <c r="I338" s="212"/>
      <c r="J338" s="213"/>
      <c r="K338" s="213"/>
      <c r="L338" s="213"/>
      <c r="M338" s="213">
        <f t="shared" si="259"/>
        <v>0</v>
      </c>
      <c r="N338" s="207"/>
      <c r="O338" s="231"/>
      <c r="P338" s="230"/>
      <c r="Q338" s="230"/>
      <c r="R338" s="230"/>
      <c r="S338" s="213">
        <f t="shared" si="260"/>
        <v>0</v>
      </c>
      <c r="T338" s="216" t="s">
        <v>1076</v>
      </c>
      <c r="U338" s="227" t="s">
        <v>657</v>
      </c>
      <c r="V338" s="216">
        <v>10692.42</v>
      </c>
      <c r="W338" s="216">
        <v>4684.8999999999996</v>
      </c>
      <c r="X338" s="216"/>
      <c r="Y338" s="213">
        <f t="shared" si="261"/>
        <v>10692.42</v>
      </c>
      <c r="Z338" s="222">
        <v>2022</v>
      </c>
      <c r="AA338" s="228"/>
      <c r="AB338" s="218"/>
      <c r="AC338" s="220"/>
      <c r="AD338" s="220"/>
      <c r="AE338" s="220" t="str">
        <f t="shared" si="262"/>
        <v>V</v>
      </c>
      <c r="AF338" s="229"/>
      <c r="AG338" s="220" t="e">
        <f t="shared" si="263"/>
        <v>#VALUE!</v>
      </c>
      <c r="AH338" s="220" t="str">
        <f t="shared" si="264"/>
        <v>2</v>
      </c>
      <c r="AI338" s="220"/>
      <c r="AJ338" s="221" t="str">
        <f t="shared" si="265"/>
        <v>1</v>
      </c>
      <c r="AK338" s="220" t="e">
        <f t="shared" si="266"/>
        <v>#VALUE!</v>
      </c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</row>
    <row r="339" spans="1:61" ht="16.5" customHeight="1" outlineLevel="2">
      <c r="A339" s="207">
        <f t="shared" si="256"/>
        <v>316</v>
      </c>
      <c r="B339" s="207">
        <v>8</v>
      </c>
      <c r="C339" s="208" t="s">
        <v>1590</v>
      </c>
      <c r="D339" s="300">
        <v>26670.041746095845</v>
      </c>
      <c r="E339" s="504" t="s">
        <v>104</v>
      </c>
      <c r="F339" s="213">
        <f t="shared" si="257"/>
        <v>71400</v>
      </c>
      <c r="G339" s="207"/>
      <c r="H339" s="281">
        <f t="shared" si="258"/>
        <v>2015</v>
      </c>
      <c r="I339" s="212" t="s">
        <v>1591</v>
      </c>
      <c r="J339" s="213">
        <v>71400</v>
      </c>
      <c r="K339" s="213">
        <v>0</v>
      </c>
      <c r="L339" s="213">
        <v>71400</v>
      </c>
      <c r="M339" s="213">
        <f t="shared" si="259"/>
        <v>71400</v>
      </c>
      <c r="N339" s="207"/>
      <c r="O339" s="253" t="s">
        <v>1592</v>
      </c>
      <c r="P339" s="230">
        <v>71400</v>
      </c>
      <c r="Q339" s="230">
        <v>0</v>
      </c>
      <c r="R339" s="230">
        <v>71400</v>
      </c>
      <c r="S339" s="213">
        <f t="shared" si="260"/>
        <v>71400</v>
      </c>
      <c r="T339" s="216"/>
      <c r="U339" s="221"/>
      <c r="V339" s="216"/>
      <c r="W339" s="216"/>
      <c r="X339" s="216"/>
      <c r="Y339" s="213">
        <f t="shared" si="261"/>
        <v>0</v>
      </c>
      <c r="Z339" s="222">
        <v>2023</v>
      </c>
      <c r="AA339" s="228" t="s">
        <v>1160</v>
      </c>
      <c r="AB339" s="218"/>
      <c r="AC339" s="220"/>
      <c r="AD339" s="220"/>
      <c r="AE339" s="220" t="str">
        <f t="shared" si="262"/>
        <v/>
      </c>
      <c r="AF339" s="229"/>
      <c r="AG339" s="220" t="str">
        <f t="shared" si="263"/>
        <v>2</v>
      </c>
      <c r="AH339" s="220" t="str">
        <f t="shared" si="264"/>
        <v>1</v>
      </c>
      <c r="AI339" s="220"/>
      <c r="AJ339" s="221" t="str">
        <f t="shared" si="265"/>
        <v>1</v>
      </c>
      <c r="AK339" s="220" t="str">
        <f t="shared" si="266"/>
        <v>2.1..1</v>
      </c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</row>
    <row r="340" spans="1:61" ht="16.5" customHeight="1" outlineLevel="2">
      <c r="A340" s="207">
        <f t="shared" si="256"/>
        <v>317</v>
      </c>
      <c r="B340" s="207">
        <v>9</v>
      </c>
      <c r="C340" s="208" t="s">
        <v>1593</v>
      </c>
      <c r="D340" s="300">
        <v>4018.5838334552263</v>
      </c>
      <c r="E340" s="504" t="s">
        <v>661</v>
      </c>
      <c r="F340" s="213">
        <f t="shared" si="257"/>
        <v>0</v>
      </c>
      <c r="G340" s="207"/>
      <c r="H340" s="281" t="e">
        <f t="shared" si="258"/>
        <v>#VALUE!</v>
      </c>
      <c r="I340" s="212"/>
      <c r="J340" s="213"/>
      <c r="K340" s="213"/>
      <c r="L340" s="213"/>
      <c r="M340" s="213">
        <f t="shared" si="259"/>
        <v>0</v>
      </c>
      <c r="N340" s="207"/>
      <c r="O340" s="253"/>
      <c r="P340" s="230"/>
      <c r="Q340" s="230"/>
      <c r="R340" s="230"/>
      <c r="S340" s="213">
        <f t="shared" si="260"/>
        <v>0</v>
      </c>
      <c r="T340" s="216"/>
      <c r="U340" s="221"/>
      <c r="V340" s="216"/>
      <c r="W340" s="216"/>
      <c r="X340" s="216"/>
      <c r="Y340" s="213">
        <f t="shared" si="261"/>
        <v>0</v>
      </c>
      <c r="Z340" s="222" t="s">
        <v>1129</v>
      </c>
      <c r="AA340" s="228" t="s">
        <v>1090</v>
      </c>
      <c r="AB340" s="218"/>
      <c r="AC340" s="220"/>
      <c r="AD340" s="220"/>
      <c r="AE340" s="220" t="str">
        <f t="shared" si="262"/>
        <v/>
      </c>
      <c r="AF340" s="229"/>
      <c r="AG340" s="220" t="e">
        <f t="shared" si="263"/>
        <v>#VALUE!</v>
      </c>
      <c r="AH340" s="220" t="str">
        <f t="shared" si="264"/>
        <v>2</v>
      </c>
      <c r="AI340" s="220"/>
      <c r="AJ340" s="221" t="str">
        <f t="shared" si="265"/>
        <v>2</v>
      </c>
      <c r="AK340" s="220" t="e">
        <f t="shared" si="266"/>
        <v>#VALUE!</v>
      </c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</row>
    <row r="341" spans="1:61" ht="16.5" customHeight="1" outlineLevel="2">
      <c r="A341" s="207">
        <f t="shared" si="256"/>
        <v>318</v>
      </c>
      <c r="B341" s="207">
        <v>10</v>
      </c>
      <c r="C341" s="208" t="s">
        <v>1594</v>
      </c>
      <c r="D341" s="300">
        <v>12459.755822079105</v>
      </c>
      <c r="E341" s="504" t="s">
        <v>104</v>
      </c>
      <c r="F341" s="213">
        <f t="shared" si="257"/>
        <v>11405</v>
      </c>
      <c r="G341" s="207"/>
      <c r="H341" s="281">
        <f t="shared" si="258"/>
        <v>2014</v>
      </c>
      <c r="I341" s="212" t="s">
        <v>1595</v>
      </c>
      <c r="J341" s="213">
        <v>11405</v>
      </c>
      <c r="K341" s="213">
        <v>0</v>
      </c>
      <c r="L341" s="213">
        <v>11405</v>
      </c>
      <c r="M341" s="213">
        <f t="shared" si="259"/>
        <v>11405</v>
      </c>
      <c r="N341" s="207"/>
      <c r="O341" s="231"/>
      <c r="P341" s="230"/>
      <c r="Q341" s="230"/>
      <c r="R341" s="230"/>
      <c r="S341" s="213">
        <f t="shared" si="260"/>
        <v>0</v>
      </c>
      <c r="T341" s="216"/>
      <c r="U341" s="207"/>
      <c r="V341" s="216"/>
      <c r="W341" s="216"/>
      <c r="X341" s="216"/>
      <c r="Y341" s="213">
        <f t="shared" si="261"/>
        <v>0</v>
      </c>
      <c r="Z341" s="222" t="s">
        <v>1129</v>
      </c>
      <c r="AA341" s="228" t="s">
        <v>1090</v>
      </c>
      <c r="AB341" s="218"/>
      <c r="AC341" s="220"/>
      <c r="AD341" s="220"/>
      <c r="AE341" s="220" t="str">
        <f t="shared" si="262"/>
        <v/>
      </c>
      <c r="AF341" s="229"/>
      <c r="AG341" s="220" t="str">
        <f t="shared" si="263"/>
        <v>2</v>
      </c>
      <c r="AH341" s="220" t="str">
        <f t="shared" si="264"/>
        <v>1</v>
      </c>
      <c r="AI341" s="220"/>
      <c r="AJ341" s="221" t="str">
        <f t="shared" si="265"/>
        <v>2</v>
      </c>
      <c r="AK341" s="220" t="str">
        <f t="shared" si="266"/>
        <v>2.1..2</v>
      </c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</row>
    <row r="342" spans="1:61" ht="16.5" customHeight="1" outlineLevel="2">
      <c r="A342" s="207">
        <f t="shared" si="256"/>
        <v>319</v>
      </c>
      <c r="B342" s="207">
        <v>11</v>
      </c>
      <c r="C342" s="208" t="s">
        <v>1596</v>
      </c>
      <c r="D342" s="300">
        <v>43514.29236591985</v>
      </c>
      <c r="E342" s="504" t="s">
        <v>91</v>
      </c>
      <c r="F342" s="213">
        <f t="shared" si="257"/>
        <v>43948.12</v>
      </c>
      <c r="G342" s="207"/>
      <c r="H342" s="281" t="e">
        <f t="shared" si="258"/>
        <v>#VALUE!</v>
      </c>
      <c r="I342" s="212"/>
      <c r="J342" s="213"/>
      <c r="K342" s="213"/>
      <c r="L342" s="213"/>
      <c r="M342" s="213">
        <f t="shared" si="259"/>
        <v>0</v>
      </c>
      <c r="N342" s="207"/>
      <c r="O342" s="231" t="s">
        <v>243</v>
      </c>
      <c r="P342" s="621" t="s">
        <v>1246</v>
      </c>
      <c r="Q342" s="564"/>
      <c r="R342" s="559"/>
      <c r="S342" s="213"/>
      <c r="T342" s="216" t="s">
        <v>1076</v>
      </c>
      <c r="U342" s="227" t="s">
        <v>665</v>
      </c>
      <c r="V342" s="216">
        <v>39001.17</v>
      </c>
      <c r="W342" s="216">
        <v>4946.95</v>
      </c>
      <c r="X342" s="216">
        <v>43948.12</v>
      </c>
      <c r="Y342" s="213">
        <f t="shared" si="261"/>
        <v>43948.12</v>
      </c>
      <c r="Z342" s="222">
        <v>2022</v>
      </c>
      <c r="AA342" s="228"/>
      <c r="AB342" s="218"/>
      <c r="AC342" s="220"/>
      <c r="AD342" s="220"/>
      <c r="AE342" s="220" t="str">
        <f t="shared" si="262"/>
        <v>V</v>
      </c>
      <c r="AF342" s="229"/>
      <c r="AG342" s="220" t="e">
        <f t="shared" si="263"/>
        <v>#VALUE!</v>
      </c>
      <c r="AH342" s="220" t="str">
        <f t="shared" si="264"/>
        <v>2</v>
      </c>
      <c r="AI342" s="220"/>
      <c r="AJ342" s="221" t="str">
        <f t="shared" si="265"/>
        <v>1</v>
      </c>
      <c r="AK342" s="220" t="e">
        <f t="shared" si="266"/>
        <v>#VALUE!</v>
      </c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</row>
    <row r="343" spans="1:61" ht="16.5" customHeight="1" outlineLevel="2">
      <c r="A343" s="207">
        <f t="shared" si="256"/>
        <v>320</v>
      </c>
      <c r="B343" s="207">
        <v>12</v>
      </c>
      <c r="C343" s="245" t="s">
        <v>1597</v>
      </c>
      <c r="D343" s="300">
        <v>24532.634789767282</v>
      </c>
      <c r="E343" s="504" t="s">
        <v>104</v>
      </c>
      <c r="F343" s="213">
        <f t="shared" si="257"/>
        <v>0</v>
      </c>
      <c r="G343" s="207"/>
      <c r="H343" s="281" t="e">
        <f t="shared" si="258"/>
        <v>#VALUE!</v>
      </c>
      <c r="I343" s="212"/>
      <c r="J343" s="213"/>
      <c r="K343" s="213"/>
      <c r="L343" s="213"/>
      <c r="M343" s="213">
        <f t="shared" si="259"/>
        <v>0</v>
      </c>
      <c r="N343" s="207"/>
      <c r="O343" s="231" t="s">
        <v>1598</v>
      </c>
      <c r="P343" s="230">
        <v>0</v>
      </c>
      <c r="Q343" s="230">
        <v>0</v>
      </c>
      <c r="R343" s="230">
        <v>0</v>
      </c>
      <c r="S343" s="213">
        <f t="shared" ref="S343:S345" si="267">IF(R343&gt;0,R343,IF(P343&gt;0,P343,0))</f>
        <v>0</v>
      </c>
      <c r="T343" s="216"/>
      <c r="U343" s="207"/>
      <c r="V343" s="216"/>
      <c r="W343" s="216"/>
      <c r="X343" s="216"/>
      <c r="Y343" s="213">
        <f t="shared" si="261"/>
        <v>0</v>
      </c>
      <c r="Z343" s="222">
        <v>2023</v>
      </c>
      <c r="AA343" s="228" t="s">
        <v>1160</v>
      </c>
      <c r="AB343" s="218"/>
      <c r="AC343" s="220"/>
      <c r="AD343" s="220"/>
      <c r="AE343" s="220" t="str">
        <f t="shared" si="262"/>
        <v/>
      </c>
      <c r="AF343" s="229"/>
      <c r="AG343" s="220" t="e">
        <f t="shared" si="263"/>
        <v>#VALUE!</v>
      </c>
      <c r="AH343" s="220" t="str">
        <f t="shared" si="264"/>
        <v>2</v>
      </c>
      <c r="AI343" s="220"/>
      <c r="AJ343" s="221" t="str">
        <f t="shared" si="265"/>
        <v>2</v>
      </c>
      <c r="AK343" s="220" t="e">
        <f t="shared" si="266"/>
        <v>#VALUE!</v>
      </c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</row>
    <row r="344" spans="1:61" ht="16.5" customHeight="1" outlineLevel="2">
      <c r="A344" s="207">
        <f t="shared" si="256"/>
        <v>321</v>
      </c>
      <c r="B344" s="207">
        <v>13</v>
      </c>
      <c r="C344" s="245" t="s">
        <v>1599</v>
      </c>
      <c r="D344" s="300">
        <v>8891.3827894294482</v>
      </c>
      <c r="E344" s="504" t="s">
        <v>104</v>
      </c>
      <c r="F344" s="213">
        <f t="shared" si="257"/>
        <v>7500</v>
      </c>
      <c r="G344" s="207"/>
      <c r="H344" s="281">
        <f t="shared" si="258"/>
        <v>2015</v>
      </c>
      <c r="I344" s="212" t="s">
        <v>1591</v>
      </c>
      <c r="J344" s="213">
        <v>7500</v>
      </c>
      <c r="K344" s="213">
        <v>0</v>
      </c>
      <c r="L344" s="213">
        <v>7500</v>
      </c>
      <c r="M344" s="213">
        <f t="shared" si="259"/>
        <v>7500</v>
      </c>
      <c r="N344" s="207"/>
      <c r="O344" s="253" t="s">
        <v>1600</v>
      </c>
      <c r="P344" s="230">
        <v>26605</v>
      </c>
      <c r="Q344" s="230">
        <v>0</v>
      </c>
      <c r="R344" s="230">
        <v>26605</v>
      </c>
      <c r="S344" s="213">
        <f t="shared" si="267"/>
        <v>26605</v>
      </c>
      <c r="T344" s="216"/>
      <c r="U344" s="221"/>
      <c r="V344" s="216"/>
      <c r="W344" s="216"/>
      <c r="X344" s="216"/>
      <c r="Y344" s="213">
        <f t="shared" si="261"/>
        <v>0</v>
      </c>
      <c r="Z344" s="222" t="s">
        <v>1097</v>
      </c>
      <c r="AA344" s="228"/>
      <c r="AB344" s="218"/>
      <c r="AC344" s="220"/>
      <c r="AD344" s="220"/>
      <c r="AE344" s="220" t="str">
        <f t="shared" si="262"/>
        <v/>
      </c>
      <c r="AF344" s="229"/>
      <c r="AG344" s="220" t="str">
        <f t="shared" si="263"/>
        <v>2</v>
      </c>
      <c r="AH344" s="220" t="str">
        <f t="shared" si="264"/>
        <v>1</v>
      </c>
      <c r="AI344" s="220"/>
      <c r="AJ344" s="221" t="str">
        <f t="shared" si="265"/>
        <v>1</v>
      </c>
      <c r="AK344" s="220" t="str">
        <f t="shared" si="266"/>
        <v>2.1..1</v>
      </c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</row>
    <row r="345" spans="1:61" ht="16.5" customHeight="1" outlineLevel="2">
      <c r="A345" s="207">
        <f t="shared" si="256"/>
        <v>322</v>
      </c>
      <c r="B345" s="207">
        <v>14</v>
      </c>
      <c r="C345" s="245" t="s">
        <v>1601</v>
      </c>
      <c r="D345" s="300">
        <v>16986.450864875293</v>
      </c>
      <c r="E345" s="504" t="s">
        <v>661</v>
      </c>
      <c r="F345" s="213">
        <f t="shared" si="257"/>
        <v>0</v>
      </c>
      <c r="G345" s="207"/>
      <c r="H345" s="281" t="e">
        <f t="shared" si="258"/>
        <v>#VALUE!</v>
      </c>
      <c r="I345" s="212"/>
      <c r="J345" s="213"/>
      <c r="K345" s="213"/>
      <c r="L345" s="213"/>
      <c r="M345" s="213">
        <f t="shared" si="259"/>
        <v>0</v>
      </c>
      <c r="N345" s="207"/>
      <c r="O345" s="253"/>
      <c r="P345" s="230"/>
      <c r="Q345" s="230"/>
      <c r="R345" s="230"/>
      <c r="S345" s="213">
        <f t="shared" si="267"/>
        <v>0</v>
      </c>
      <c r="T345" s="216"/>
      <c r="U345" s="221"/>
      <c r="V345" s="216"/>
      <c r="W345" s="216"/>
      <c r="X345" s="216"/>
      <c r="Y345" s="213">
        <f t="shared" si="261"/>
        <v>0</v>
      </c>
      <c r="Z345" s="222" t="s">
        <v>1129</v>
      </c>
      <c r="AA345" s="228" t="s">
        <v>1090</v>
      </c>
      <c r="AB345" s="218"/>
      <c r="AC345" s="220"/>
      <c r="AD345" s="220"/>
      <c r="AE345" s="220" t="str">
        <f t="shared" si="262"/>
        <v/>
      </c>
      <c r="AF345" s="229"/>
      <c r="AG345" s="220" t="e">
        <f t="shared" si="263"/>
        <v>#VALUE!</v>
      </c>
      <c r="AH345" s="220" t="str">
        <f t="shared" si="264"/>
        <v>2</v>
      </c>
      <c r="AI345" s="220"/>
      <c r="AJ345" s="221" t="str">
        <f t="shared" si="265"/>
        <v>2</v>
      </c>
      <c r="AK345" s="220" t="e">
        <f t="shared" si="266"/>
        <v>#VALUE!</v>
      </c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</row>
    <row r="346" spans="1:61" ht="16.5" customHeight="1" outlineLevel="1">
      <c r="A346" s="207"/>
      <c r="B346" s="201"/>
      <c r="C346" s="249" t="s">
        <v>1602</v>
      </c>
      <c r="D346" s="250"/>
      <c r="E346" s="238">
        <f>COUNTIF(E332:E345,"D") + COUNTIF(E332:E345,"DS")</f>
        <v>8</v>
      </c>
      <c r="F346" s="254">
        <f>SUBTOTAL(9,F332:F345)</f>
        <v>207007.72</v>
      </c>
      <c r="G346" s="201"/>
      <c r="H346" s="240"/>
      <c r="I346" s="264"/>
      <c r="J346" s="254">
        <f t="shared" ref="J346:S346" si="268">SUBTOTAL(9,J339:J344)</f>
        <v>90305</v>
      </c>
      <c r="K346" s="254">
        <f t="shared" si="268"/>
        <v>0</v>
      </c>
      <c r="L346" s="254">
        <f t="shared" si="268"/>
        <v>90305</v>
      </c>
      <c r="M346" s="254">
        <f t="shared" si="268"/>
        <v>90305</v>
      </c>
      <c r="N346" s="254">
        <f t="shared" si="268"/>
        <v>0</v>
      </c>
      <c r="O346" s="254">
        <f t="shared" si="268"/>
        <v>0</v>
      </c>
      <c r="P346" s="254">
        <f t="shared" si="268"/>
        <v>98005</v>
      </c>
      <c r="Q346" s="254">
        <f t="shared" si="268"/>
        <v>0</v>
      </c>
      <c r="R346" s="254">
        <f t="shared" si="268"/>
        <v>98005</v>
      </c>
      <c r="S346" s="254">
        <f t="shared" si="268"/>
        <v>98005</v>
      </c>
      <c r="T346" s="254">
        <v>1</v>
      </c>
      <c r="U346" s="254">
        <v>1</v>
      </c>
      <c r="V346" s="254">
        <f t="shared" ref="V346:X346" si="269">SUBTOTAL(9,V332:V345)</f>
        <v>66197.03</v>
      </c>
      <c r="W346" s="254">
        <f t="shared" si="269"/>
        <v>55190.59</v>
      </c>
      <c r="X346" s="254">
        <f t="shared" si="269"/>
        <v>106010.3</v>
      </c>
      <c r="Y346" s="254">
        <f>SUBTOTAL(9,Y339:Y344)</f>
        <v>43948.12</v>
      </c>
      <c r="Z346" s="243" t="s">
        <v>1138</v>
      </c>
      <c r="AA346" s="228"/>
      <c r="AB346" s="218"/>
      <c r="AC346" s="220"/>
      <c r="AD346" s="220"/>
      <c r="AE346" s="244">
        <f>COUNTIF(AE332:AE345,"V") + COUNTIF(AE332:AE345,"VV") + COUNTIF(AE332:AE345,"VVV")</f>
        <v>4</v>
      </c>
      <c r="AF346" s="229"/>
      <c r="AG346" s="220"/>
      <c r="AH346" s="220"/>
      <c r="AI346" s="220"/>
      <c r="AJ346" s="221"/>
      <c r="AK346" s="220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</row>
    <row r="347" spans="1:61" ht="16.5" customHeight="1" outlineLevel="1">
      <c r="A347" s="207">
        <f t="shared" ref="A347:A360" si="270">SUBTOTAL(3,$B$6:B347)</f>
        <v>323</v>
      </c>
      <c r="B347" s="207">
        <v>1</v>
      </c>
      <c r="C347" s="208" t="s">
        <v>1603</v>
      </c>
      <c r="D347" s="247">
        <v>7794.2865808568158</v>
      </c>
      <c r="E347" s="504" t="s">
        <v>104</v>
      </c>
      <c r="F347" s="213">
        <f t="shared" ref="F347:F350" si="271">IF(M347&gt;0,M347,IF(S347&gt;0,S347,IF(Y347&gt;0,Y347,0)))</f>
        <v>5872</v>
      </c>
      <c r="G347" s="207"/>
      <c r="H347" s="281" t="e">
        <f t="shared" ref="H347:H360" si="272">VALUE(RIGHT(I347,4))</f>
        <v>#VALUE!</v>
      </c>
      <c r="I347" s="212"/>
      <c r="J347" s="213"/>
      <c r="K347" s="213"/>
      <c r="L347" s="213"/>
      <c r="M347" s="213">
        <f t="shared" ref="M347:M360" si="273">IF(L347&gt;0,L347,IF(J347&gt;0,J347,0))</f>
        <v>0</v>
      </c>
      <c r="N347" s="207"/>
      <c r="O347" s="231"/>
      <c r="P347" s="230"/>
      <c r="Q347" s="230"/>
      <c r="R347" s="230"/>
      <c r="S347" s="213">
        <f t="shared" ref="S347:S360" si="274">IF(R347&gt;0,R347,IF(P347&gt;0,P347,0))</f>
        <v>0</v>
      </c>
      <c r="T347" s="216"/>
      <c r="U347" s="227" t="s">
        <v>694</v>
      </c>
      <c r="V347" s="216">
        <v>5872</v>
      </c>
      <c r="W347" s="216"/>
      <c r="X347" s="216"/>
      <c r="Y347" s="213">
        <f t="shared" ref="Y347:Y360" si="275">IF(X347&gt;0,X347,IF(V347&gt;0,V347,0))</f>
        <v>5872</v>
      </c>
      <c r="Z347" s="222" t="s">
        <v>1097</v>
      </c>
      <c r="AA347" s="228"/>
      <c r="AB347" s="218"/>
      <c r="AC347" s="220"/>
      <c r="AD347" s="220"/>
      <c r="AE347" s="220" t="str">
        <f t="shared" ref="AE347:AE360" si="276">CONCATENATE(G347,N347,T347)</f>
        <v/>
      </c>
      <c r="AF347" s="229"/>
      <c r="AG347" s="220" t="e">
        <f t="shared" ref="AG347:AG360" si="277">IF(H347=0,"3",IF(H347&lt;=2018,"2","1"))</f>
        <v>#VALUE!</v>
      </c>
      <c r="AH347" s="220" t="str">
        <f t="shared" ref="AH347:AH360" si="278">IF(M347&gt;0,"1","2")</f>
        <v>2</v>
      </c>
      <c r="AI347" s="220"/>
      <c r="AJ347" s="221" t="str">
        <f t="shared" ref="AJ347:AJ360" si="279">IF(S347&gt;0,"1",IF(Y347&gt;0,"1","2"))</f>
        <v>1</v>
      </c>
      <c r="AK347" s="220" t="e">
        <f t="shared" ref="AK347:AK360" si="280">CONCATENATE(AG347,".",AH347,".",AI347,".",AJ347)</f>
        <v>#VALUE!</v>
      </c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</row>
    <row r="348" spans="1:61" ht="16.5" customHeight="1" outlineLevel="2">
      <c r="A348" s="207">
        <f t="shared" si="270"/>
        <v>324</v>
      </c>
      <c r="B348" s="207">
        <v>2</v>
      </c>
      <c r="C348" s="208" t="s">
        <v>1604</v>
      </c>
      <c r="D348" s="247">
        <v>5395.9196574516573</v>
      </c>
      <c r="E348" s="504" t="s">
        <v>104</v>
      </c>
      <c r="F348" s="213">
        <f t="shared" si="271"/>
        <v>2383.71</v>
      </c>
      <c r="G348" s="207"/>
      <c r="H348" s="281">
        <f t="shared" si="272"/>
        <v>2014</v>
      </c>
      <c r="I348" s="212" t="s">
        <v>185</v>
      </c>
      <c r="J348" s="213">
        <v>2383.71</v>
      </c>
      <c r="K348" s="213">
        <v>0</v>
      </c>
      <c r="L348" s="213">
        <v>2383.71</v>
      </c>
      <c r="M348" s="213">
        <f t="shared" si="273"/>
        <v>2383.71</v>
      </c>
      <c r="N348" s="207"/>
      <c r="O348" s="231"/>
      <c r="P348" s="230"/>
      <c r="Q348" s="230"/>
      <c r="R348" s="230"/>
      <c r="S348" s="213">
        <f t="shared" si="274"/>
        <v>0</v>
      </c>
      <c r="T348" s="216"/>
      <c r="U348" s="207"/>
      <c r="V348" s="216"/>
      <c r="W348" s="216"/>
      <c r="X348" s="216"/>
      <c r="Y348" s="213">
        <f t="shared" si="275"/>
        <v>0</v>
      </c>
      <c r="Z348" s="222" t="s">
        <v>1097</v>
      </c>
      <c r="AA348" s="228"/>
      <c r="AB348" s="218"/>
      <c r="AC348" s="220"/>
      <c r="AD348" s="220"/>
      <c r="AE348" s="220" t="str">
        <f t="shared" si="276"/>
        <v/>
      </c>
      <c r="AF348" s="229"/>
      <c r="AG348" s="220" t="str">
        <f t="shared" si="277"/>
        <v>2</v>
      </c>
      <c r="AH348" s="220" t="str">
        <f t="shared" si="278"/>
        <v>1</v>
      </c>
      <c r="AI348" s="220"/>
      <c r="AJ348" s="221" t="str">
        <f t="shared" si="279"/>
        <v>2</v>
      </c>
      <c r="AK348" s="220" t="str">
        <f t="shared" si="280"/>
        <v>2.1..2</v>
      </c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</row>
    <row r="349" spans="1:61" ht="16.5" customHeight="1" outlineLevel="2">
      <c r="A349" s="207">
        <f t="shared" si="270"/>
        <v>325</v>
      </c>
      <c r="B349" s="207">
        <v>3</v>
      </c>
      <c r="C349" s="208" t="s">
        <v>1605</v>
      </c>
      <c r="D349" s="247">
        <v>1534.529038387632</v>
      </c>
      <c r="E349" s="504" t="s">
        <v>91</v>
      </c>
      <c r="F349" s="213">
        <f t="shared" si="271"/>
        <v>51888.62</v>
      </c>
      <c r="G349" s="207" t="s">
        <v>1076</v>
      </c>
      <c r="H349" s="223">
        <f t="shared" si="272"/>
        <v>2019</v>
      </c>
      <c r="I349" s="224" t="s">
        <v>216</v>
      </c>
      <c r="J349" s="213"/>
      <c r="K349" s="213">
        <v>0</v>
      </c>
      <c r="L349" s="213">
        <v>51888.62</v>
      </c>
      <c r="M349" s="213">
        <f t="shared" si="273"/>
        <v>51888.62</v>
      </c>
      <c r="N349" s="207"/>
      <c r="O349" s="231"/>
      <c r="P349" s="230"/>
      <c r="Q349" s="230"/>
      <c r="R349" s="230"/>
      <c r="S349" s="213">
        <f t="shared" si="274"/>
        <v>0</v>
      </c>
      <c r="T349" s="216"/>
      <c r="U349" s="207"/>
      <c r="V349" s="216"/>
      <c r="W349" s="216"/>
      <c r="X349" s="216"/>
      <c r="Y349" s="213">
        <f t="shared" si="275"/>
        <v>0</v>
      </c>
      <c r="Z349" s="222">
        <v>2020</v>
      </c>
      <c r="AA349" s="228"/>
      <c r="AB349" s="218"/>
      <c r="AC349" s="220"/>
      <c r="AD349" s="220"/>
      <c r="AE349" s="220" t="str">
        <f t="shared" si="276"/>
        <v>V</v>
      </c>
      <c r="AF349" s="229"/>
      <c r="AG349" s="220" t="str">
        <f t="shared" si="277"/>
        <v>1</v>
      </c>
      <c r="AH349" s="220" t="str">
        <f t="shared" si="278"/>
        <v>1</v>
      </c>
      <c r="AI349" s="220"/>
      <c r="AJ349" s="221" t="str">
        <f t="shared" si="279"/>
        <v>2</v>
      </c>
      <c r="AK349" s="220" t="str">
        <f t="shared" si="280"/>
        <v>1.1..2</v>
      </c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</row>
    <row r="350" spans="1:61" ht="16.5" customHeight="1" outlineLevel="2">
      <c r="A350" s="207">
        <f t="shared" si="270"/>
        <v>326</v>
      </c>
      <c r="B350" s="207">
        <v>4</v>
      </c>
      <c r="C350" s="245" t="s">
        <v>1606</v>
      </c>
      <c r="D350" s="247">
        <v>475.24277047469099</v>
      </c>
      <c r="E350" s="504" t="s">
        <v>104</v>
      </c>
      <c r="F350" s="213">
        <f t="shared" si="271"/>
        <v>10587.62</v>
      </c>
      <c r="G350" s="207"/>
      <c r="H350" s="281">
        <f t="shared" si="272"/>
        <v>2014</v>
      </c>
      <c r="I350" s="212" t="s">
        <v>444</v>
      </c>
      <c r="J350" s="213">
        <v>10587.62</v>
      </c>
      <c r="K350" s="213">
        <v>0</v>
      </c>
      <c r="L350" s="213">
        <v>10587.62</v>
      </c>
      <c r="M350" s="213">
        <f t="shared" si="273"/>
        <v>10587.62</v>
      </c>
      <c r="N350" s="207"/>
      <c r="O350" s="231"/>
      <c r="P350" s="230"/>
      <c r="Q350" s="230"/>
      <c r="R350" s="230"/>
      <c r="S350" s="213">
        <f t="shared" si="274"/>
        <v>0</v>
      </c>
      <c r="T350" s="216"/>
      <c r="U350" s="207"/>
      <c r="V350" s="216"/>
      <c r="W350" s="216"/>
      <c r="X350" s="216"/>
      <c r="Y350" s="213">
        <f t="shared" si="275"/>
        <v>0</v>
      </c>
      <c r="Z350" s="222" t="s">
        <v>1097</v>
      </c>
      <c r="AA350" s="228"/>
      <c r="AB350" s="218"/>
      <c r="AC350" s="220"/>
      <c r="AD350" s="220"/>
      <c r="AE350" s="220" t="str">
        <f t="shared" si="276"/>
        <v/>
      </c>
      <c r="AF350" s="229"/>
      <c r="AG350" s="220" t="str">
        <f t="shared" si="277"/>
        <v>2</v>
      </c>
      <c r="AH350" s="220" t="str">
        <f t="shared" si="278"/>
        <v>1</v>
      </c>
      <c r="AI350" s="220"/>
      <c r="AJ350" s="221" t="str">
        <f t="shared" si="279"/>
        <v>2</v>
      </c>
      <c r="AK350" s="220" t="str">
        <f t="shared" si="280"/>
        <v>2.1..2</v>
      </c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</row>
    <row r="351" spans="1:61" ht="16.5" customHeight="1" outlineLevel="2">
      <c r="A351" s="207">
        <f t="shared" si="270"/>
        <v>327</v>
      </c>
      <c r="B351" s="207">
        <v>5</v>
      </c>
      <c r="C351" s="245" t="s">
        <v>1607</v>
      </c>
      <c r="D351" s="247">
        <v>65685.665644323817</v>
      </c>
      <c r="E351" s="504" t="s">
        <v>91</v>
      </c>
      <c r="F351" s="213">
        <f>Y351</f>
        <v>92568.11</v>
      </c>
      <c r="G351" s="207"/>
      <c r="H351" s="281">
        <f t="shared" si="272"/>
        <v>2019</v>
      </c>
      <c r="I351" s="212" t="s">
        <v>349</v>
      </c>
      <c r="J351" s="213">
        <v>0</v>
      </c>
      <c r="K351" s="213">
        <v>0</v>
      </c>
      <c r="L351" s="213">
        <v>3412.6</v>
      </c>
      <c r="M351" s="213">
        <f t="shared" si="273"/>
        <v>3412.6</v>
      </c>
      <c r="N351" s="207"/>
      <c r="O351" s="231"/>
      <c r="P351" s="230"/>
      <c r="Q351" s="230"/>
      <c r="R351" s="230"/>
      <c r="S351" s="213">
        <f t="shared" si="274"/>
        <v>0</v>
      </c>
      <c r="T351" s="216" t="s">
        <v>1076</v>
      </c>
      <c r="U351" s="227" t="s">
        <v>699</v>
      </c>
      <c r="V351" s="216">
        <v>53739.49</v>
      </c>
      <c r="W351" s="216">
        <v>38828.620000000003</v>
      </c>
      <c r="X351" s="216">
        <v>92568.11</v>
      </c>
      <c r="Y351" s="213">
        <f t="shared" si="275"/>
        <v>92568.11</v>
      </c>
      <c r="Z351" s="222">
        <v>2022</v>
      </c>
      <c r="AA351" s="228"/>
      <c r="AB351" s="218"/>
      <c r="AC351" s="220"/>
      <c r="AD351" s="220"/>
      <c r="AE351" s="220" t="str">
        <f t="shared" si="276"/>
        <v>V</v>
      </c>
      <c r="AF351" s="229"/>
      <c r="AG351" s="220" t="str">
        <f t="shared" si="277"/>
        <v>1</v>
      </c>
      <c r="AH351" s="220" t="str">
        <f t="shared" si="278"/>
        <v>1</v>
      </c>
      <c r="AI351" s="220"/>
      <c r="AJ351" s="221" t="str">
        <f t="shared" si="279"/>
        <v>1</v>
      </c>
      <c r="AK351" s="220" t="str">
        <f t="shared" si="280"/>
        <v>1.1..1</v>
      </c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</row>
    <row r="352" spans="1:61" ht="16.5" customHeight="1" outlineLevel="2">
      <c r="A352" s="207">
        <f t="shared" si="270"/>
        <v>328</v>
      </c>
      <c r="B352" s="207">
        <v>6</v>
      </c>
      <c r="C352" s="245" t="s">
        <v>1608</v>
      </c>
      <c r="D352" s="247">
        <v>11026.199057929647</v>
      </c>
      <c r="E352" s="504" t="s">
        <v>91</v>
      </c>
      <c r="F352" s="213">
        <f t="shared" ref="F352:F357" si="281">IF(M352&gt;0,M352,IF(S352&gt;0,S352,IF(Y352&gt;0,Y352,0)))</f>
        <v>16306.14</v>
      </c>
      <c r="G352" s="207"/>
      <c r="H352" s="223">
        <f t="shared" si="272"/>
        <v>2019</v>
      </c>
      <c r="I352" s="224" t="s">
        <v>1355</v>
      </c>
      <c r="J352" s="213"/>
      <c r="K352" s="213"/>
      <c r="L352" s="213"/>
      <c r="M352" s="213">
        <f t="shared" si="273"/>
        <v>0</v>
      </c>
      <c r="N352" s="207"/>
      <c r="O352" s="231"/>
      <c r="P352" s="230"/>
      <c r="Q352" s="230"/>
      <c r="R352" s="230"/>
      <c r="S352" s="213">
        <f t="shared" si="274"/>
        <v>0</v>
      </c>
      <c r="T352" s="216" t="s">
        <v>1076</v>
      </c>
      <c r="U352" s="227" t="s">
        <v>701</v>
      </c>
      <c r="V352" s="216">
        <v>16306.14</v>
      </c>
      <c r="W352" s="216"/>
      <c r="X352" s="216"/>
      <c r="Y352" s="213">
        <f t="shared" si="275"/>
        <v>16306.14</v>
      </c>
      <c r="Z352" s="222">
        <v>2022</v>
      </c>
      <c r="AA352" s="228"/>
      <c r="AB352" s="218"/>
      <c r="AC352" s="220"/>
      <c r="AD352" s="220"/>
      <c r="AE352" s="220" t="str">
        <f t="shared" si="276"/>
        <v>V</v>
      </c>
      <c r="AF352" s="229"/>
      <c r="AG352" s="220" t="str">
        <f t="shared" si="277"/>
        <v>1</v>
      </c>
      <c r="AH352" s="220" t="str">
        <f t="shared" si="278"/>
        <v>2</v>
      </c>
      <c r="AI352" s="220"/>
      <c r="AJ352" s="221" t="str">
        <f t="shared" si="279"/>
        <v>1</v>
      </c>
      <c r="AK352" s="220" t="str">
        <f t="shared" si="280"/>
        <v>1.2..1</v>
      </c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</row>
    <row r="353" spans="1:61" ht="16.5" customHeight="1" outlineLevel="2">
      <c r="A353" s="207">
        <f t="shared" si="270"/>
        <v>329</v>
      </c>
      <c r="B353" s="207">
        <v>7</v>
      </c>
      <c r="C353" s="245" t="s">
        <v>1609</v>
      </c>
      <c r="D353" s="247">
        <v>99.190513512111011</v>
      </c>
      <c r="E353" s="504" t="s">
        <v>104</v>
      </c>
      <c r="F353" s="213">
        <f t="shared" si="281"/>
        <v>149.72999999999999</v>
      </c>
      <c r="G353" s="207"/>
      <c r="H353" s="281">
        <f t="shared" si="272"/>
        <v>2019</v>
      </c>
      <c r="I353" s="212" t="s">
        <v>703</v>
      </c>
      <c r="J353" s="213"/>
      <c r="K353" s="213"/>
      <c r="L353" s="213">
        <v>149.72999999999999</v>
      </c>
      <c r="M353" s="213">
        <f t="shared" si="273"/>
        <v>149.72999999999999</v>
      </c>
      <c r="N353" s="207"/>
      <c r="O353" s="231"/>
      <c r="P353" s="230"/>
      <c r="Q353" s="230"/>
      <c r="R353" s="230"/>
      <c r="S353" s="213">
        <f t="shared" si="274"/>
        <v>0</v>
      </c>
      <c r="T353" s="216"/>
      <c r="U353" s="207"/>
      <c r="V353" s="216"/>
      <c r="W353" s="216"/>
      <c r="X353" s="216"/>
      <c r="Y353" s="213">
        <f t="shared" si="275"/>
        <v>0</v>
      </c>
      <c r="Z353" s="222" t="s">
        <v>1097</v>
      </c>
      <c r="AA353" s="228"/>
      <c r="AB353" s="218"/>
      <c r="AC353" s="220"/>
      <c r="AD353" s="220"/>
      <c r="AE353" s="220" t="str">
        <f t="shared" si="276"/>
        <v/>
      </c>
      <c r="AF353" s="229"/>
      <c r="AG353" s="220" t="str">
        <f t="shared" si="277"/>
        <v>1</v>
      </c>
      <c r="AH353" s="220" t="str">
        <f t="shared" si="278"/>
        <v>1</v>
      </c>
      <c r="AI353" s="220"/>
      <c r="AJ353" s="221" t="str">
        <f t="shared" si="279"/>
        <v>2</v>
      </c>
      <c r="AK353" s="220" t="str">
        <f t="shared" si="280"/>
        <v>1.1..2</v>
      </c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</row>
    <row r="354" spans="1:61" ht="16.5" customHeight="1" outlineLevel="2">
      <c r="A354" s="207">
        <f t="shared" si="270"/>
        <v>330</v>
      </c>
      <c r="B354" s="207">
        <v>8</v>
      </c>
      <c r="C354" s="245" t="s">
        <v>1610</v>
      </c>
      <c r="D354" s="247">
        <v>2934.3118772872799</v>
      </c>
      <c r="E354" s="504" t="s">
        <v>661</v>
      </c>
      <c r="F354" s="213">
        <f t="shared" si="281"/>
        <v>0</v>
      </c>
      <c r="G354" s="207"/>
      <c r="H354" s="281" t="e">
        <f t="shared" si="272"/>
        <v>#VALUE!</v>
      </c>
      <c r="I354" s="212"/>
      <c r="J354" s="213"/>
      <c r="K354" s="213"/>
      <c r="L354" s="213"/>
      <c r="M354" s="213">
        <f t="shared" si="273"/>
        <v>0</v>
      </c>
      <c r="N354" s="207"/>
      <c r="O354" s="231"/>
      <c r="P354" s="230"/>
      <c r="Q354" s="230"/>
      <c r="R354" s="230"/>
      <c r="S354" s="213">
        <f t="shared" si="274"/>
        <v>0</v>
      </c>
      <c r="T354" s="216"/>
      <c r="U354" s="207"/>
      <c r="V354" s="216"/>
      <c r="W354" s="216"/>
      <c r="X354" s="216"/>
      <c r="Y354" s="213">
        <f t="shared" si="275"/>
        <v>0</v>
      </c>
      <c r="Z354" s="222" t="s">
        <v>1177</v>
      </c>
      <c r="AA354" s="228"/>
      <c r="AB354" s="218"/>
      <c r="AC354" s="220"/>
      <c r="AD354" s="220"/>
      <c r="AE354" s="220" t="str">
        <f t="shared" si="276"/>
        <v/>
      </c>
      <c r="AF354" s="229"/>
      <c r="AG354" s="220" t="e">
        <f t="shared" si="277"/>
        <v>#VALUE!</v>
      </c>
      <c r="AH354" s="220" t="str">
        <f t="shared" si="278"/>
        <v>2</v>
      </c>
      <c r="AI354" s="220"/>
      <c r="AJ354" s="221" t="str">
        <f t="shared" si="279"/>
        <v>2</v>
      </c>
      <c r="AK354" s="220" t="e">
        <f t="shared" si="280"/>
        <v>#VALUE!</v>
      </c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</row>
    <row r="355" spans="1:61" ht="16.5" customHeight="1" outlineLevel="2">
      <c r="A355" s="207">
        <f t="shared" si="270"/>
        <v>331</v>
      </c>
      <c r="B355" s="207">
        <v>9</v>
      </c>
      <c r="C355" s="245" t="s">
        <v>1611</v>
      </c>
      <c r="D355" s="247">
        <v>8783.22227737906</v>
      </c>
      <c r="E355" s="504" t="s">
        <v>661</v>
      </c>
      <c r="F355" s="213">
        <f t="shared" si="281"/>
        <v>0</v>
      </c>
      <c r="G355" s="207"/>
      <c r="H355" s="281" t="e">
        <f t="shared" si="272"/>
        <v>#VALUE!</v>
      </c>
      <c r="I355" s="212"/>
      <c r="J355" s="213"/>
      <c r="K355" s="213"/>
      <c r="L355" s="213"/>
      <c r="M355" s="213">
        <f t="shared" si="273"/>
        <v>0</v>
      </c>
      <c r="N355" s="207"/>
      <c r="O355" s="231"/>
      <c r="P355" s="230"/>
      <c r="Q355" s="230"/>
      <c r="R355" s="230"/>
      <c r="S355" s="213">
        <f t="shared" si="274"/>
        <v>0</v>
      </c>
      <c r="T355" s="216"/>
      <c r="U355" s="207"/>
      <c r="V355" s="216"/>
      <c r="W355" s="216"/>
      <c r="X355" s="216"/>
      <c r="Y355" s="213">
        <f t="shared" si="275"/>
        <v>0</v>
      </c>
      <c r="Z355" s="222" t="s">
        <v>1097</v>
      </c>
      <c r="AA355" s="228" t="s">
        <v>1090</v>
      </c>
      <c r="AB355" s="218"/>
      <c r="AC355" s="220"/>
      <c r="AD355" s="220"/>
      <c r="AE355" s="220" t="str">
        <f t="shared" si="276"/>
        <v/>
      </c>
      <c r="AF355" s="229"/>
      <c r="AG355" s="220" t="e">
        <f t="shared" si="277"/>
        <v>#VALUE!</v>
      </c>
      <c r="AH355" s="220" t="str">
        <f t="shared" si="278"/>
        <v>2</v>
      </c>
      <c r="AI355" s="220"/>
      <c r="AJ355" s="221" t="str">
        <f t="shared" si="279"/>
        <v>2</v>
      </c>
      <c r="AK355" s="220" t="e">
        <f t="shared" si="280"/>
        <v>#VALUE!</v>
      </c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</row>
    <row r="356" spans="1:61" ht="16.5" customHeight="1" outlineLevel="2">
      <c r="A356" s="207">
        <f t="shared" si="270"/>
        <v>332</v>
      </c>
      <c r="B356" s="207">
        <v>10</v>
      </c>
      <c r="C356" s="245" t="s">
        <v>1612</v>
      </c>
      <c r="D356" s="247">
        <v>261.31100317986034</v>
      </c>
      <c r="E356" s="504" t="s">
        <v>104</v>
      </c>
      <c r="F356" s="213">
        <f t="shared" si="281"/>
        <v>75498.77</v>
      </c>
      <c r="G356" s="207"/>
      <c r="H356" s="281">
        <f t="shared" si="272"/>
        <v>2014</v>
      </c>
      <c r="I356" s="212" t="s">
        <v>709</v>
      </c>
      <c r="J356" s="213">
        <v>75498.77</v>
      </c>
      <c r="K356" s="213">
        <v>0</v>
      </c>
      <c r="L356" s="213">
        <v>75498.77</v>
      </c>
      <c r="M356" s="213">
        <f t="shared" si="273"/>
        <v>75498.77</v>
      </c>
      <c r="N356" s="207"/>
      <c r="O356" s="231"/>
      <c r="P356" s="230"/>
      <c r="Q356" s="230"/>
      <c r="R356" s="230"/>
      <c r="S356" s="213">
        <f t="shared" si="274"/>
        <v>0</v>
      </c>
      <c r="T356" s="216"/>
      <c r="U356" s="207"/>
      <c r="V356" s="216"/>
      <c r="W356" s="216"/>
      <c r="X356" s="216"/>
      <c r="Y356" s="213">
        <f t="shared" si="275"/>
        <v>0</v>
      </c>
      <c r="Z356" s="222" t="s">
        <v>1097</v>
      </c>
      <c r="AA356" s="228"/>
      <c r="AB356" s="218"/>
      <c r="AC356" s="220"/>
      <c r="AD356" s="220"/>
      <c r="AE356" s="220" t="str">
        <f t="shared" si="276"/>
        <v/>
      </c>
      <c r="AF356" s="229"/>
      <c r="AG356" s="220" t="str">
        <f t="shared" si="277"/>
        <v>2</v>
      </c>
      <c r="AH356" s="220" t="str">
        <f t="shared" si="278"/>
        <v>1</v>
      </c>
      <c r="AI356" s="220"/>
      <c r="AJ356" s="221" t="str">
        <f t="shared" si="279"/>
        <v>2</v>
      </c>
      <c r="AK356" s="220" t="str">
        <f t="shared" si="280"/>
        <v>2.1..2</v>
      </c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</row>
    <row r="357" spans="1:61" ht="16.5" customHeight="1" outlineLevel="2">
      <c r="A357" s="207">
        <f t="shared" si="270"/>
        <v>333</v>
      </c>
      <c r="B357" s="207">
        <v>11</v>
      </c>
      <c r="C357" s="245" t="s">
        <v>1613</v>
      </c>
      <c r="D357" s="247">
        <v>89.405956534992541</v>
      </c>
      <c r="E357" s="504" t="s">
        <v>104</v>
      </c>
      <c r="F357" s="213">
        <f t="shared" si="281"/>
        <v>4936</v>
      </c>
      <c r="G357" s="207"/>
      <c r="H357" s="281">
        <f t="shared" si="272"/>
        <v>18</v>
      </c>
      <c r="I357" s="212" t="s">
        <v>974</v>
      </c>
      <c r="J357" s="213">
        <v>4936</v>
      </c>
      <c r="K357" s="213">
        <v>0</v>
      </c>
      <c r="L357" s="213">
        <v>4936</v>
      </c>
      <c r="M357" s="213">
        <f t="shared" si="273"/>
        <v>4936</v>
      </c>
      <c r="N357" s="207"/>
      <c r="O357" s="231"/>
      <c r="P357" s="230"/>
      <c r="Q357" s="230"/>
      <c r="R357" s="230"/>
      <c r="S357" s="213">
        <f t="shared" si="274"/>
        <v>0</v>
      </c>
      <c r="T357" s="216"/>
      <c r="U357" s="207"/>
      <c r="V357" s="216"/>
      <c r="W357" s="216"/>
      <c r="X357" s="216"/>
      <c r="Y357" s="213">
        <f t="shared" si="275"/>
        <v>0</v>
      </c>
      <c r="Z357" s="222" t="s">
        <v>1097</v>
      </c>
      <c r="AA357" s="228"/>
      <c r="AB357" s="218"/>
      <c r="AC357" s="220"/>
      <c r="AD357" s="220"/>
      <c r="AE357" s="220" t="str">
        <f t="shared" si="276"/>
        <v/>
      </c>
      <c r="AF357" s="229"/>
      <c r="AG357" s="220" t="str">
        <f t="shared" si="277"/>
        <v>2</v>
      </c>
      <c r="AH357" s="220" t="str">
        <f t="shared" si="278"/>
        <v>1</v>
      </c>
      <c r="AI357" s="220"/>
      <c r="AJ357" s="221" t="str">
        <f t="shared" si="279"/>
        <v>2</v>
      </c>
      <c r="AK357" s="220" t="str">
        <f t="shared" si="280"/>
        <v>2.1..2</v>
      </c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</row>
    <row r="358" spans="1:61" ht="16.5" customHeight="1" outlineLevel="2">
      <c r="A358" s="207">
        <f t="shared" si="270"/>
        <v>334</v>
      </c>
      <c r="B358" s="207">
        <v>12</v>
      </c>
      <c r="C358" s="245" t="s">
        <v>1614</v>
      </c>
      <c r="D358" s="247">
        <v>27130.584500349822</v>
      </c>
      <c r="E358" s="504" t="s">
        <v>91</v>
      </c>
      <c r="F358" s="213">
        <f>S358</f>
        <v>18536.45</v>
      </c>
      <c r="G358" s="207"/>
      <c r="H358" s="281">
        <f t="shared" si="272"/>
        <v>2019</v>
      </c>
      <c r="I358" s="212" t="s">
        <v>1346</v>
      </c>
      <c r="J358" s="213">
        <v>0</v>
      </c>
      <c r="K358" s="213">
        <v>0</v>
      </c>
      <c r="L358" s="213">
        <v>23159</v>
      </c>
      <c r="M358" s="213">
        <f t="shared" si="273"/>
        <v>23159</v>
      </c>
      <c r="N358" s="207" t="s">
        <v>1076</v>
      </c>
      <c r="O358" s="505" t="s">
        <v>712</v>
      </c>
      <c r="P358" s="230">
        <v>18536.45</v>
      </c>
      <c r="Q358" s="230">
        <v>133105.49</v>
      </c>
      <c r="R358" s="230"/>
      <c r="S358" s="213">
        <f t="shared" si="274"/>
        <v>18536.45</v>
      </c>
      <c r="T358" s="216" t="s">
        <v>1076</v>
      </c>
      <c r="U358" s="227" t="s">
        <v>1615</v>
      </c>
      <c r="V358" s="216">
        <v>20974.5</v>
      </c>
      <c r="W358" s="216">
        <v>10982.58</v>
      </c>
      <c r="X358" s="216"/>
      <c r="Y358" s="213">
        <f t="shared" si="275"/>
        <v>20974.5</v>
      </c>
      <c r="Z358" s="222">
        <v>2022</v>
      </c>
      <c r="AA358" s="228"/>
      <c r="AB358" s="218"/>
      <c r="AC358" s="220"/>
      <c r="AD358" s="220"/>
      <c r="AE358" s="220" t="str">
        <f t="shared" si="276"/>
        <v>VV</v>
      </c>
      <c r="AF358" s="229"/>
      <c r="AG358" s="220" t="str">
        <f t="shared" si="277"/>
        <v>1</v>
      </c>
      <c r="AH358" s="220" t="str">
        <f t="shared" si="278"/>
        <v>1</v>
      </c>
      <c r="AI358" s="220"/>
      <c r="AJ358" s="221" t="str">
        <f t="shared" si="279"/>
        <v>1</v>
      </c>
      <c r="AK358" s="220" t="str">
        <f t="shared" si="280"/>
        <v>1.1..1</v>
      </c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</row>
    <row r="359" spans="1:61" ht="16.5" customHeight="1" outlineLevel="2">
      <c r="A359" s="207">
        <f t="shared" si="270"/>
        <v>335</v>
      </c>
      <c r="B359" s="207">
        <v>13</v>
      </c>
      <c r="C359" s="245" t="s">
        <v>1616</v>
      </c>
      <c r="D359" s="247">
        <v>3111.4288342259483</v>
      </c>
      <c r="E359" s="504" t="s">
        <v>661</v>
      </c>
      <c r="F359" s="213">
        <f t="shared" ref="F359:F360" si="282">IF(M359&gt;0,M359,IF(S359&gt;0,S359,IF(Y359&gt;0,Y359,0)))</f>
        <v>0</v>
      </c>
      <c r="G359" s="207"/>
      <c r="H359" s="281" t="e">
        <f t="shared" si="272"/>
        <v>#VALUE!</v>
      </c>
      <c r="I359" s="212"/>
      <c r="J359" s="213"/>
      <c r="K359" s="213"/>
      <c r="L359" s="213"/>
      <c r="M359" s="213">
        <f t="shared" si="273"/>
        <v>0</v>
      </c>
      <c r="N359" s="207"/>
      <c r="O359" s="231"/>
      <c r="P359" s="230"/>
      <c r="Q359" s="230"/>
      <c r="R359" s="230"/>
      <c r="S359" s="213">
        <f t="shared" si="274"/>
        <v>0</v>
      </c>
      <c r="T359" s="216"/>
      <c r="U359" s="207"/>
      <c r="V359" s="216"/>
      <c r="W359" s="216"/>
      <c r="X359" s="216"/>
      <c r="Y359" s="213">
        <f t="shared" si="275"/>
        <v>0</v>
      </c>
      <c r="Z359" s="222" t="s">
        <v>1097</v>
      </c>
      <c r="AA359" s="228" t="s">
        <v>1090</v>
      </c>
      <c r="AB359" s="218"/>
      <c r="AC359" s="220"/>
      <c r="AD359" s="220"/>
      <c r="AE359" s="220" t="str">
        <f t="shared" si="276"/>
        <v/>
      </c>
      <c r="AF359" s="229"/>
      <c r="AG359" s="220" t="e">
        <f t="shared" si="277"/>
        <v>#VALUE!</v>
      </c>
      <c r="AH359" s="220" t="str">
        <f t="shared" si="278"/>
        <v>2</v>
      </c>
      <c r="AI359" s="220"/>
      <c r="AJ359" s="221" t="str">
        <f t="shared" si="279"/>
        <v>2</v>
      </c>
      <c r="AK359" s="220" t="e">
        <f t="shared" si="280"/>
        <v>#VALUE!</v>
      </c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</row>
    <row r="360" spans="1:61" ht="16.5" customHeight="1" outlineLevel="2">
      <c r="A360" s="207">
        <f t="shared" si="270"/>
        <v>336</v>
      </c>
      <c r="B360" s="207">
        <v>14</v>
      </c>
      <c r="C360" s="245" t="s">
        <v>1617</v>
      </c>
      <c r="D360" s="247">
        <v>2165.1906439764057</v>
      </c>
      <c r="E360" s="504" t="s">
        <v>104</v>
      </c>
      <c r="F360" s="213">
        <f t="shared" si="282"/>
        <v>2384</v>
      </c>
      <c r="G360" s="207"/>
      <c r="H360" s="281">
        <f t="shared" si="272"/>
        <v>2012</v>
      </c>
      <c r="I360" s="212" t="s">
        <v>527</v>
      </c>
      <c r="J360" s="213">
        <v>2384</v>
      </c>
      <c r="K360" s="213">
        <v>0</v>
      </c>
      <c r="L360" s="213">
        <v>2384</v>
      </c>
      <c r="M360" s="213">
        <f t="shared" si="273"/>
        <v>2384</v>
      </c>
      <c r="N360" s="207"/>
      <c r="O360" s="231"/>
      <c r="P360" s="230"/>
      <c r="Q360" s="230"/>
      <c r="R360" s="230"/>
      <c r="S360" s="213">
        <f t="shared" si="274"/>
        <v>0</v>
      </c>
      <c r="T360" s="216"/>
      <c r="U360" s="207"/>
      <c r="V360" s="216"/>
      <c r="W360" s="216"/>
      <c r="X360" s="216"/>
      <c r="Y360" s="213">
        <f t="shared" si="275"/>
        <v>0</v>
      </c>
      <c r="Z360" s="222" t="s">
        <v>1097</v>
      </c>
      <c r="AA360" s="228" t="s">
        <v>1090</v>
      </c>
      <c r="AB360" s="218"/>
      <c r="AC360" s="220"/>
      <c r="AD360" s="220"/>
      <c r="AE360" s="220" t="str">
        <f t="shared" si="276"/>
        <v/>
      </c>
      <c r="AF360" s="229"/>
      <c r="AG360" s="220" t="str">
        <f t="shared" si="277"/>
        <v>2</v>
      </c>
      <c r="AH360" s="220" t="str">
        <f t="shared" si="278"/>
        <v>1</v>
      </c>
      <c r="AI360" s="220"/>
      <c r="AJ360" s="221" t="str">
        <f t="shared" si="279"/>
        <v>2</v>
      </c>
      <c r="AK360" s="220" t="str">
        <f t="shared" si="280"/>
        <v>2.1..2</v>
      </c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</row>
    <row r="361" spans="1:61" ht="16.5" customHeight="1" outlineLevel="1">
      <c r="A361" s="207"/>
      <c r="B361" s="201"/>
      <c r="C361" s="249" t="s">
        <v>1618</v>
      </c>
      <c r="D361" s="250">
        <f>SUM(D347:D360)</f>
        <v>136486.48835586972</v>
      </c>
      <c r="E361" s="238">
        <f>COUNTIF(E347:E360,"D") + COUNTIF(E347:E360,"DS")</f>
        <v>11</v>
      </c>
      <c r="F361" s="250">
        <f t="shared" ref="F361:G361" si="283">SUM(F347:F360)</f>
        <v>281111.15000000002</v>
      </c>
      <c r="G361" s="250">
        <f t="shared" si="283"/>
        <v>0</v>
      </c>
      <c r="H361" s="301"/>
      <c r="I361" s="249">
        <f t="shared" ref="I361:S361" si="284">SUM(I347:I360)</f>
        <v>0</v>
      </c>
      <c r="J361" s="250">
        <f t="shared" si="284"/>
        <v>95790.1</v>
      </c>
      <c r="K361" s="250">
        <f t="shared" si="284"/>
        <v>0</v>
      </c>
      <c r="L361" s="250">
        <f t="shared" si="284"/>
        <v>174400.05</v>
      </c>
      <c r="M361" s="250">
        <f t="shared" si="284"/>
        <v>174400.05</v>
      </c>
      <c r="N361" s="250">
        <f t="shared" si="284"/>
        <v>0</v>
      </c>
      <c r="O361" s="237">
        <f t="shared" si="284"/>
        <v>0</v>
      </c>
      <c r="P361" s="250">
        <f t="shared" si="284"/>
        <v>18536.45</v>
      </c>
      <c r="Q361" s="250">
        <f t="shared" si="284"/>
        <v>133105.49</v>
      </c>
      <c r="R361" s="250">
        <f t="shared" si="284"/>
        <v>0</v>
      </c>
      <c r="S361" s="250">
        <f t="shared" si="284"/>
        <v>18536.45</v>
      </c>
      <c r="T361" s="203">
        <v>1</v>
      </c>
      <c r="U361" s="203">
        <v>1</v>
      </c>
      <c r="V361" s="203">
        <f t="shared" ref="V361:Y361" si="285">SUM(V347:V360)</f>
        <v>96892.13</v>
      </c>
      <c r="W361" s="203">
        <f t="shared" si="285"/>
        <v>49811.200000000004</v>
      </c>
      <c r="X361" s="203">
        <f t="shared" si="285"/>
        <v>92568.11</v>
      </c>
      <c r="Y361" s="250">
        <f t="shared" si="285"/>
        <v>135720.75</v>
      </c>
      <c r="Z361" s="243" t="s">
        <v>1138</v>
      </c>
      <c r="AA361" s="302"/>
      <c r="AB361" s="303"/>
      <c r="AC361" s="304"/>
      <c r="AD361" s="304"/>
      <c r="AE361" s="244">
        <f>COUNTIF(AE347:AE360,"V") + COUNTIF(AE347:AE360,"VV") + COUNTIF(AE347:AE360,"VVV")</f>
        <v>4</v>
      </c>
      <c r="AF361" s="305"/>
      <c r="AG361" s="220"/>
      <c r="AH361" s="220"/>
      <c r="AI361" s="304"/>
      <c r="AJ361" s="221"/>
      <c r="AK361" s="220"/>
      <c r="AL361" s="306"/>
      <c r="AM361" s="306"/>
      <c r="AN361" s="306"/>
      <c r="AO361" s="306"/>
      <c r="AP361" s="306"/>
      <c r="AQ361" s="306"/>
      <c r="AR361" s="306"/>
      <c r="AS361" s="306"/>
      <c r="AT361" s="306"/>
      <c r="AU361" s="306"/>
      <c r="AV361" s="306"/>
      <c r="AW361" s="306"/>
      <c r="AX361" s="306"/>
      <c r="AY361" s="306"/>
      <c r="AZ361" s="306"/>
      <c r="BA361" s="306"/>
      <c r="BB361" s="306"/>
      <c r="BC361" s="306"/>
      <c r="BD361" s="306"/>
      <c r="BE361" s="306"/>
      <c r="BF361" s="306"/>
      <c r="BG361" s="306"/>
      <c r="BH361" s="306"/>
      <c r="BI361" s="306"/>
    </row>
    <row r="362" spans="1:61" ht="16.5" customHeight="1" outlineLevel="2">
      <c r="A362" s="207">
        <f t="shared" ref="A362:A374" si="286">SUBTOTAL(3,$B$6:B362)</f>
        <v>337</v>
      </c>
      <c r="B362" s="207">
        <v>1</v>
      </c>
      <c r="C362" s="245" t="s">
        <v>1619</v>
      </c>
      <c r="D362" s="209">
        <v>7926.9182374032198</v>
      </c>
      <c r="E362" s="504" t="s">
        <v>91</v>
      </c>
      <c r="F362" s="213">
        <f t="shared" ref="F362:F363" si="287">IF(M362&gt;0,M362,IF(S362&gt;0,S362,IF(Y362&gt;0,Y362,0)))</f>
        <v>6585.7</v>
      </c>
      <c r="G362" s="207"/>
      <c r="H362" s="281" t="e">
        <f t="shared" ref="H362:H374" si="288">VALUE(RIGHT(I362,4))</f>
        <v>#VALUE!</v>
      </c>
      <c r="I362" s="212"/>
      <c r="J362" s="213"/>
      <c r="K362" s="213"/>
      <c r="L362" s="213"/>
      <c r="M362" s="213">
        <f t="shared" ref="M362:M374" si="289">IF(L362&gt;0,L362,IF(J362&gt;0,J362,0))</f>
        <v>0</v>
      </c>
      <c r="N362" s="207"/>
      <c r="O362" s="231" t="s">
        <v>1620</v>
      </c>
      <c r="P362" s="230">
        <v>0</v>
      </c>
      <c r="Q362" s="230">
        <v>0</v>
      </c>
      <c r="R362" s="230">
        <v>0</v>
      </c>
      <c r="S362" s="213">
        <f t="shared" ref="S362:S374" si="290">IF(R362&gt;0,R362,IF(P362&gt;0,P362,0))</f>
        <v>0</v>
      </c>
      <c r="T362" s="216" t="s">
        <v>1076</v>
      </c>
      <c r="U362" s="227" t="s">
        <v>673</v>
      </c>
      <c r="V362" s="216">
        <v>6585.7</v>
      </c>
      <c r="W362" s="216"/>
      <c r="X362" s="216"/>
      <c r="Y362" s="213">
        <f t="shared" ref="Y362:Y374" si="291">IF(X362&gt;0,X362,IF(V362&gt;0,V362,0))</f>
        <v>6585.7</v>
      </c>
      <c r="Z362" s="222">
        <v>2021</v>
      </c>
      <c r="AA362" s="228"/>
      <c r="AB362" s="218"/>
      <c r="AC362" s="220"/>
      <c r="AD362" s="220"/>
      <c r="AE362" s="220" t="str">
        <f t="shared" ref="AE362:AE374" si="292">CONCATENATE(G362,N362,T362)</f>
        <v>V</v>
      </c>
      <c r="AF362" s="229"/>
      <c r="AG362" s="220" t="e">
        <f t="shared" ref="AG362:AG374" si="293">IF(H362=0,"3",IF(H362&lt;=2018,"2","1"))</f>
        <v>#VALUE!</v>
      </c>
      <c r="AH362" s="220" t="str">
        <f t="shared" ref="AH362:AH374" si="294">IF(M362&gt;0,"1","2")</f>
        <v>2</v>
      </c>
      <c r="AI362" s="220"/>
      <c r="AJ362" s="221" t="str">
        <f t="shared" ref="AJ362:AJ374" si="295">IF(S362&gt;0,"1",IF(Y362&gt;0,"1","2"))</f>
        <v>1</v>
      </c>
      <c r="AK362" s="220" t="e">
        <f t="shared" ref="AK362:AK374" si="296">CONCATENATE(AG362,".",AH362,".",AI362,".",AJ362)</f>
        <v>#VALUE!</v>
      </c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</row>
    <row r="363" spans="1:61" ht="16.5" customHeight="1" outlineLevel="2">
      <c r="A363" s="207">
        <f t="shared" si="286"/>
        <v>338</v>
      </c>
      <c r="B363" s="207">
        <v>2</v>
      </c>
      <c r="C363" s="245" t="s">
        <v>1621</v>
      </c>
      <c r="D363" s="209">
        <v>50785.070924901214</v>
      </c>
      <c r="E363" s="504" t="s">
        <v>91</v>
      </c>
      <c r="F363" s="213">
        <f t="shared" si="287"/>
        <v>42006</v>
      </c>
      <c r="G363" s="207" t="s">
        <v>1076</v>
      </c>
      <c r="H363" s="281">
        <f t="shared" si="288"/>
        <v>2021</v>
      </c>
      <c r="I363" s="212" t="s">
        <v>218</v>
      </c>
      <c r="J363" s="213">
        <v>0</v>
      </c>
      <c r="K363" s="213">
        <v>0</v>
      </c>
      <c r="L363" s="213">
        <v>42006</v>
      </c>
      <c r="M363" s="213">
        <f t="shared" si="289"/>
        <v>42006</v>
      </c>
      <c r="N363" s="207"/>
      <c r="O363" s="253" t="s">
        <v>1622</v>
      </c>
      <c r="P363" s="230">
        <v>0</v>
      </c>
      <c r="Q363" s="230">
        <v>0</v>
      </c>
      <c r="R363" s="230">
        <v>0</v>
      </c>
      <c r="S363" s="213">
        <f t="shared" si="290"/>
        <v>0</v>
      </c>
      <c r="T363" s="216"/>
      <c r="U363" s="221"/>
      <c r="V363" s="216"/>
      <c r="W363" s="216"/>
      <c r="X363" s="216"/>
      <c r="Y363" s="213">
        <f t="shared" si="291"/>
        <v>0</v>
      </c>
      <c r="Z363" s="222">
        <v>2020</v>
      </c>
      <c r="AA363" s="228"/>
      <c r="AB363" s="218"/>
      <c r="AC363" s="220"/>
      <c r="AD363" s="220"/>
      <c r="AE363" s="220" t="str">
        <f t="shared" si="292"/>
        <v>V</v>
      </c>
      <c r="AF363" s="229"/>
      <c r="AG363" s="220" t="str">
        <f t="shared" si="293"/>
        <v>1</v>
      </c>
      <c r="AH363" s="220" t="str">
        <f t="shared" si="294"/>
        <v>1</v>
      </c>
      <c r="AI363" s="220"/>
      <c r="AJ363" s="221" t="str">
        <f t="shared" si="295"/>
        <v>2</v>
      </c>
      <c r="AK363" s="220" t="str">
        <f t="shared" si="296"/>
        <v>1.1..2</v>
      </c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</row>
    <row r="364" spans="1:61" ht="16.5" customHeight="1" outlineLevel="2">
      <c r="A364" s="207">
        <f t="shared" si="286"/>
        <v>339</v>
      </c>
      <c r="B364" s="207">
        <v>3</v>
      </c>
      <c r="C364" s="245" t="s">
        <v>1623</v>
      </c>
      <c r="D364" s="209">
        <v>71691.429072744009</v>
      </c>
      <c r="E364" s="504" t="s">
        <v>91</v>
      </c>
      <c r="F364" s="213">
        <f t="shared" ref="F364:F365" si="297">Y364</f>
        <v>78810.490000000005</v>
      </c>
      <c r="G364" s="207"/>
      <c r="H364" s="281">
        <f t="shared" si="288"/>
        <v>2012</v>
      </c>
      <c r="I364" s="212" t="s">
        <v>843</v>
      </c>
      <c r="J364" s="213">
        <v>120000</v>
      </c>
      <c r="K364" s="213">
        <v>0</v>
      </c>
      <c r="L364" s="213">
        <v>120000</v>
      </c>
      <c r="M364" s="213">
        <f t="shared" si="289"/>
        <v>120000</v>
      </c>
      <c r="N364" s="207"/>
      <c r="O364" s="253"/>
      <c r="P364" s="230"/>
      <c r="Q364" s="230"/>
      <c r="R364" s="230"/>
      <c r="S364" s="213">
        <f t="shared" si="290"/>
        <v>0</v>
      </c>
      <c r="T364" s="216" t="s">
        <v>1076</v>
      </c>
      <c r="U364" s="221" t="s">
        <v>676</v>
      </c>
      <c r="V364" s="216">
        <v>78810.490000000005</v>
      </c>
      <c r="W364" s="216">
        <v>35444.980000000003</v>
      </c>
      <c r="X364" s="216"/>
      <c r="Y364" s="213">
        <f t="shared" si="291"/>
        <v>78810.490000000005</v>
      </c>
      <c r="Z364" s="222">
        <v>2021</v>
      </c>
      <c r="AA364" s="228"/>
      <c r="AB364" s="218"/>
      <c r="AC364" s="220"/>
      <c r="AD364" s="220"/>
      <c r="AE364" s="220" t="str">
        <f t="shared" si="292"/>
        <v>V</v>
      </c>
      <c r="AF364" s="229"/>
      <c r="AG364" s="220" t="str">
        <f t="shared" si="293"/>
        <v>2</v>
      </c>
      <c r="AH364" s="220" t="str">
        <f t="shared" si="294"/>
        <v>1</v>
      </c>
      <c r="AI364" s="220"/>
      <c r="AJ364" s="221" t="str">
        <f t="shared" si="295"/>
        <v>1</v>
      </c>
      <c r="AK364" s="220" t="str">
        <f t="shared" si="296"/>
        <v>2.1..1</v>
      </c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</row>
    <row r="365" spans="1:61" ht="16.5" customHeight="1" outlineLevel="2">
      <c r="A365" s="207">
        <f t="shared" si="286"/>
        <v>340</v>
      </c>
      <c r="B365" s="207">
        <v>4</v>
      </c>
      <c r="C365" s="245" t="s">
        <v>1624</v>
      </c>
      <c r="D365" s="209">
        <v>27976.061664474415</v>
      </c>
      <c r="E365" s="504" t="s">
        <v>91</v>
      </c>
      <c r="F365" s="213">
        <f t="shared" si="297"/>
        <v>20247.03</v>
      </c>
      <c r="G365" s="207"/>
      <c r="H365" s="281">
        <f t="shared" si="288"/>
        <v>2014</v>
      </c>
      <c r="I365" s="212" t="s">
        <v>729</v>
      </c>
      <c r="J365" s="213">
        <v>27168</v>
      </c>
      <c r="K365" s="213">
        <v>3630</v>
      </c>
      <c r="L365" s="213">
        <v>30798</v>
      </c>
      <c r="M365" s="213">
        <f t="shared" si="289"/>
        <v>30798</v>
      </c>
      <c r="N365" s="207"/>
      <c r="O365" s="253"/>
      <c r="P365" s="230"/>
      <c r="Q365" s="230"/>
      <c r="R365" s="230"/>
      <c r="S365" s="213">
        <f t="shared" si="290"/>
        <v>0</v>
      </c>
      <c r="T365" s="216" t="s">
        <v>1076</v>
      </c>
      <c r="U365" s="221" t="s">
        <v>678</v>
      </c>
      <c r="V365" s="216">
        <v>20247.03</v>
      </c>
      <c r="W365" s="216">
        <v>2047.81</v>
      </c>
      <c r="X365" s="216"/>
      <c r="Y365" s="213">
        <f t="shared" si="291"/>
        <v>20247.03</v>
      </c>
      <c r="Z365" s="222">
        <v>2021</v>
      </c>
      <c r="AA365" s="228"/>
      <c r="AB365" s="218"/>
      <c r="AC365" s="220"/>
      <c r="AD365" s="220"/>
      <c r="AE365" s="220" t="str">
        <f t="shared" si="292"/>
        <v>V</v>
      </c>
      <c r="AF365" s="229"/>
      <c r="AG365" s="220" t="str">
        <f t="shared" si="293"/>
        <v>2</v>
      </c>
      <c r="AH365" s="220" t="str">
        <f t="shared" si="294"/>
        <v>1</v>
      </c>
      <c r="AI365" s="220"/>
      <c r="AJ365" s="221" t="str">
        <f t="shared" si="295"/>
        <v>1</v>
      </c>
      <c r="AK365" s="220" t="str">
        <f t="shared" si="296"/>
        <v>2.1..1</v>
      </c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</row>
    <row r="366" spans="1:61" ht="16.5" customHeight="1" outlineLevel="2">
      <c r="A366" s="207">
        <f t="shared" si="286"/>
        <v>341</v>
      </c>
      <c r="B366" s="207">
        <v>5</v>
      </c>
      <c r="C366" s="245" t="s">
        <v>1625</v>
      </c>
      <c r="D366" s="209">
        <v>26368.409121432433</v>
      </c>
      <c r="E366" s="504" t="s">
        <v>104</v>
      </c>
      <c r="F366" s="213">
        <f t="shared" ref="F366:F372" si="298">IF(M366&gt;0,M366,IF(S366&gt;0,S366,IF(Y366&gt;0,Y366,0)))</f>
        <v>43600</v>
      </c>
      <c r="G366" s="207"/>
      <c r="H366" s="281">
        <f t="shared" si="288"/>
        <v>2016</v>
      </c>
      <c r="I366" s="212" t="s">
        <v>680</v>
      </c>
      <c r="J366" s="213">
        <v>43600</v>
      </c>
      <c r="K366" s="213">
        <v>0</v>
      </c>
      <c r="L366" s="213">
        <v>43600</v>
      </c>
      <c r="M366" s="213">
        <f t="shared" si="289"/>
        <v>43600</v>
      </c>
      <c r="N366" s="207"/>
      <c r="O366" s="253" t="s">
        <v>1626</v>
      </c>
      <c r="P366" s="230">
        <v>29000</v>
      </c>
      <c r="Q366" s="230">
        <v>9470</v>
      </c>
      <c r="R366" s="230">
        <v>38470</v>
      </c>
      <c r="S366" s="213">
        <f t="shared" si="290"/>
        <v>38470</v>
      </c>
      <c r="T366" s="216"/>
      <c r="U366" s="221"/>
      <c r="V366" s="216"/>
      <c r="W366" s="216"/>
      <c r="X366" s="216"/>
      <c r="Y366" s="213">
        <f t="shared" si="291"/>
        <v>0</v>
      </c>
      <c r="Z366" s="222" t="s">
        <v>1097</v>
      </c>
      <c r="AA366" s="228"/>
      <c r="AB366" s="218"/>
      <c r="AC366" s="220"/>
      <c r="AD366" s="220"/>
      <c r="AE366" s="220" t="str">
        <f t="shared" si="292"/>
        <v/>
      </c>
      <c r="AF366" s="229"/>
      <c r="AG366" s="220" t="str">
        <f t="shared" si="293"/>
        <v>2</v>
      </c>
      <c r="AH366" s="220" t="str">
        <f t="shared" si="294"/>
        <v>1</v>
      </c>
      <c r="AI366" s="220"/>
      <c r="AJ366" s="221" t="str">
        <f t="shared" si="295"/>
        <v>1</v>
      </c>
      <c r="AK366" s="220" t="str">
        <f t="shared" si="296"/>
        <v>2.1..1</v>
      </c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</row>
    <row r="367" spans="1:61" ht="16.5" customHeight="1" outlineLevel="2">
      <c r="A367" s="207">
        <f t="shared" si="286"/>
        <v>342</v>
      </c>
      <c r="B367" s="207">
        <v>6</v>
      </c>
      <c r="C367" s="245" t="s">
        <v>1627</v>
      </c>
      <c r="D367" s="209">
        <v>22353.349017710734</v>
      </c>
      <c r="E367" s="504" t="s">
        <v>104</v>
      </c>
      <c r="F367" s="213">
        <f t="shared" si="298"/>
        <v>23359</v>
      </c>
      <c r="G367" s="207"/>
      <c r="H367" s="281">
        <f t="shared" si="288"/>
        <v>2012</v>
      </c>
      <c r="I367" s="212" t="s">
        <v>682</v>
      </c>
      <c r="J367" s="213">
        <v>23359</v>
      </c>
      <c r="K367" s="213">
        <v>0</v>
      </c>
      <c r="L367" s="213">
        <v>23359</v>
      </c>
      <c r="M367" s="213">
        <f t="shared" si="289"/>
        <v>23359</v>
      </c>
      <c r="N367" s="207"/>
      <c r="O367" s="253" t="s">
        <v>1628</v>
      </c>
      <c r="P367" s="230">
        <v>14908</v>
      </c>
      <c r="Q367" s="230">
        <v>8451</v>
      </c>
      <c r="R367" s="230">
        <v>23359</v>
      </c>
      <c r="S367" s="213">
        <f t="shared" si="290"/>
        <v>23359</v>
      </c>
      <c r="T367" s="216"/>
      <c r="U367" s="221"/>
      <c r="V367" s="216"/>
      <c r="W367" s="216"/>
      <c r="X367" s="216"/>
      <c r="Y367" s="213">
        <f t="shared" si="291"/>
        <v>0</v>
      </c>
      <c r="Z367" s="222" t="s">
        <v>1097</v>
      </c>
      <c r="AA367" s="228"/>
      <c r="AB367" s="218"/>
      <c r="AC367" s="220"/>
      <c r="AD367" s="220"/>
      <c r="AE367" s="220" t="str">
        <f t="shared" si="292"/>
        <v/>
      </c>
      <c r="AF367" s="229"/>
      <c r="AG367" s="220" t="str">
        <f t="shared" si="293"/>
        <v>2</v>
      </c>
      <c r="AH367" s="220" t="str">
        <f t="shared" si="294"/>
        <v>1</v>
      </c>
      <c r="AI367" s="220"/>
      <c r="AJ367" s="221" t="str">
        <f t="shared" si="295"/>
        <v>1</v>
      </c>
      <c r="AK367" s="220" t="str">
        <f t="shared" si="296"/>
        <v>2.1..1</v>
      </c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</row>
    <row r="368" spans="1:61" ht="16.5" customHeight="1" outlineLevel="2">
      <c r="A368" s="207">
        <f t="shared" si="286"/>
        <v>343</v>
      </c>
      <c r="B368" s="207">
        <v>7</v>
      </c>
      <c r="C368" s="245" t="s">
        <v>1629</v>
      </c>
      <c r="D368" s="209">
        <v>1702.428174804031</v>
      </c>
      <c r="E368" s="504" t="s">
        <v>104</v>
      </c>
      <c r="F368" s="213">
        <f t="shared" si="298"/>
        <v>1000</v>
      </c>
      <c r="G368" s="207"/>
      <c r="H368" s="281" t="e">
        <f t="shared" si="288"/>
        <v>#VALUE!</v>
      </c>
      <c r="I368" s="212"/>
      <c r="J368" s="213"/>
      <c r="K368" s="213"/>
      <c r="L368" s="213"/>
      <c r="M368" s="213">
        <f t="shared" si="289"/>
        <v>0</v>
      </c>
      <c r="N368" s="207"/>
      <c r="O368" s="253"/>
      <c r="P368" s="230"/>
      <c r="Q368" s="230"/>
      <c r="R368" s="230"/>
      <c r="S368" s="213">
        <f t="shared" si="290"/>
        <v>0</v>
      </c>
      <c r="T368" s="216"/>
      <c r="U368" s="517" t="s">
        <v>684</v>
      </c>
      <c r="V368" s="216">
        <v>1000</v>
      </c>
      <c r="W368" s="216"/>
      <c r="X368" s="216"/>
      <c r="Y368" s="213">
        <f t="shared" si="291"/>
        <v>1000</v>
      </c>
      <c r="Z368" s="222" t="s">
        <v>1097</v>
      </c>
      <c r="AA368" s="228"/>
      <c r="AB368" s="218"/>
      <c r="AC368" s="220"/>
      <c r="AD368" s="220"/>
      <c r="AE368" s="220" t="str">
        <f t="shared" si="292"/>
        <v/>
      </c>
      <c r="AF368" s="229"/>
      <c r="AG368" s="220" t="e">
        <f t="shared" si="293"/>
        <v>#VALUE!</v>
      </c>
      <c r="AH368" s="220" t="str">
        <f t="shared" si="294"/>
        <v>2</v>
      </c>
      <c r="AI368" s="220"/>
      <c r="AJ368" s="221" t="str">
        <f t="shared" si="295"/>
        <v>1</v>
      </c>
      <c r="AK368" s="220" t="e">
        <f t="shared" si="296"/>
        <v>#VALUE!</v>
      </c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</row>
    <row r="369" spans="1:61" ht="16.5" customHeight="1" outlineLevel="2">
      <c r="A369" s="207">
        <f t="shared" si="286"/>
        <v>344</v>
      </c>
      <c r="B369" s="207">
        <v>8</v>
      </c>
      <c r="C369" s="245" t="s">
        <v>1630</v>
      </c>
      <c r="D369" s="209">
        <v>2653.2810994298029</v>
      </c>
      <c r="E369" s="504" t="s">
        <v>104</v>
      </c>
      <c r="F369" s="213">
        <f t="shared" si="298"/>
        <v>5</v>
      </c>
      <c r="G369" s="207"/>
      <c r="H369" s="281">
        <f t="shared" si="288"/>
        <v>2013</v>
      </c>
      <c r="I369" s="212" t="s">
        <v>915</v>
      </c>
      <c r="J369" s="213">
        <v>5</v>
      </c>
      <c r="K369" s="213">
        <v>0</v>
      </c>
      <c r="L369" s="213">
        <v>5</v>
      </c>
      <c r="M369" s="213">
        <f t="shared" si="289"/>
        <v>5</v>
      </c>
      <c r="N369" s="207"/>
      <c r="O369" s="253" t="s">
        <v>1479</v>
      </c>
      <c r="P369" s="230">
        <v>0</v>
      </c>
      <c r="Q369" s="230">
        <v>0</v>
      </c>
      <c r="R369" s="230">
        <v>0</v>
      </c>
      <c r="S369" s="213">
        <f t="shared" si="290"/>
        <v>0</v>
      </c>
      <c r="T369" s="216"/>
      <c r="U369" s="221"/>
      <c r="V369" s="216"/>
      <c r="W369" s="216"/>
      <c r="X369" s="216"/>
      <c r="Y369" s="213">
        <f t="shared" si="291"/>
        <v>0</v>
      </c>
      <c r="Z369" s="222" t="s">
        <v>1097</v>
      </c>
      <c r="AA369" s="228"/>
      <c r="AB369" s="218"/>
      <c r="AC369" s="220"/>
      <c r="AD369" s="220"/>
      <c r="AE369" s="220" t="str">
        <f t="shared" si="292"/>
        <v/>
      </c>
      <c r="AF369" s="229"/>
      <c r="AG369" s="220" t="str">
        <f t="shared" si="293"/>
        <v>2</v>
      </c>
      <c r="AH369" s="220" t="str">
        <f t="shared" si="294"/>
        <v>1</v>
      </c>
      <c r="AI369" s="220"/>
      <c r="AJ369" s="221" t="str">
        <f t="shared" si="295"/>
        <v>2</v>
      </c>
      <c r="AK369" s="220" t="str">
        <f t="shared" si="296"/>
        <v>2.1..2</v>
      </c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</row>
    <row r="370" spans="1:61" ht="16.5" customHeight="1" outlineLevel="2">
      <c r="A370" s="207">
        <f t="shared" si="286"/>
        <v>345</v>
      </c>
      <c r="B370" s="207">
        <v>9</v>
      </c>
      <c r="C370" s="245" t="s">
        <v>1631</v>
      </c>
      <c r="D370" s="209">
        <v>5744.5182117693466</v>
      </c>
      <c r="E370" s="504" t="s">
        <v>104</v>
      </c>
      <c r="F370" s="213">
        <f t="shared" si="298"/>
        <v>19513</v>
      </c>
      <c r="G370" s="207"/>
      <c r="H370" s="281">
        <f t="shared" si="288"/>
        <v>2012</v>
      </c>
      <c r="I370" s="212" t="s">
        <v>323</v>
      </c>
      <c r="J370" s="213">
        <v>19513</v>
      </c>
      <c r="K370" s="213">
        <v>0</v>
      </c>
      <c r="L370" s="213">
        <v>19513</v>
      </c>
      <c r="M370" s="213">
        <f t="shared" si="289"/>
        <v>19513</v>
      </c>
      <c r="N370" s="207"/>
      <c r="O370" s="231"/>
      <c r="P370" s="230"/>
      <c r="Q370" s="230"/>
      <c r="R370" s="230"/>
      <c r="S370" s="213">
        <f t="shared" si="290"/>
        <v>0</v>
      </c>
      <c r="T370" s="216"/>
      <c r="U370" s="207"/>
      <c r="V370" s="216"/>
      <c r="W370" s="216"/>
      <c r="X370" s="216"/>
      <c r="Y370" s="213">
        <f t="shared" si="291"/>
        <v>0</v>
      </c>
      <c r="Z370" s="222" t="s">
        <v>1097</v>
      </c>
      <c r="AA370" s="228"/>
      <c r="AB370" s="218"/>
      <c r="AC370" s="220"/>
      <c r="AD370" s="220"/>
      <c r="AE370" s="220" t="str">
        <f t="shared" si="292"/>
        <v/>
      </c>
      <c r="AF370" s="229"/>
      <c r="AG370" s="220" t="str">
        <f t="shared" si="293"/>
        <v>2</v>
      </c>
      <c r="AH370" s="220" t="str">
        <f t="shared" si="294"/>
        <v>1</v>
      </c>
      <c r="AI370" s="220"/>
      <c r="AJ370" s="221" t="str">
        <f t="shared" si="295"/>
        <v>2</v>
      </c>
      <c r="AK370" s="220" t="str">
        <f t="shared" si="296"/>
        <v>2.1..2</v>
      </c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</row>
    <row r="371" spans="1:61" ht="16.5" customHeight="1" outlineLevel="2">
      <c r="A371" s="207">
        <f t="shared" si="286"/>
        <v>346</v>
      </c>
      <c r="B371" s="207">
        <v>10</v>
      </c>
      <c r="C371" s="245" t="s">
        <v>1632</v>
      </c>
      <c r="D371" s="209">
        <v>9496.6372399532211</v>
      </c>
      <c r="E371" s="504" t="s">
        <v>91</v>
      </c>
      <c r="F371" s="213">
        <f t="shared" si="298"/>
        <v>6653.03</v>
      </c>
      <c r="G371" s="207"/>
      <c r="H371" s="281" t="e">
        <f t="shared" si="288"/>
        <v>#VALUE!</v>
      </c>
      <c r="I371" s="212"/>
      <c r="J371" s="213"/>
      <c r="K371" s="213"/>
      <c r="L371" s="213"/>
      <c r="M371" s="213">
        <f t="shared" si="289"/>
        <v>0</v>
      </c>
      <c r="N371" s="207"/>
      <c r="O371" s="231"/>
      <c r="P371" s="230"/>
      <c r="Q371" s="230"/>
      <c r="R371" s="230"/>
      <c r="S371" s="213">
        <f t="shared" si="290"/>
        <v>0</v>
      </c>
      <c r="T371" s="216" t="s">
        <v>1076</v>
      </c>
      <c r="U371" s="207" t="s">
        <v>688</v>
      </c>
      <c r="V371" s="216">
        <v>6653.03</v>
      </c>
      <c r="W371" s="216"/>
      <c r="X371" s="216"/>
      <c r="Y371" s="213">
        <f t="shared" si="291"/>
        <v>6653.03</v>
      </c>
      <c r="Z371" s="222">
        <v>2021</v>
      </c>
      <c r="AA371" s="228"/>
      <c r="AB371" s="218"/>
      <c r="AC371" s="220"/>
      <c r="AD371" s="220"/>
      <c r="AE371" s="220" t="str">
        <f t="shared" si="292"/>
        <v>V</v>
      </c>
      <c r="AF371" s="229"/>
      <c r="AG371" s="220" t="e">
        <f t="shared" si="293"/>
        <v>#VALUE!</v>
      </c>
      <c r="AH371" s="220" t="str">
        <f t="shared" si="294"/>
        <v>2</v>
      </c>
      <c r="AI371" s="220"/>
      <c r="AJ371" s="221" t="str">
        <f t="shared" si="295"/>
        <v>1</v>
      </c>
      <c r="AK371" s="220" t="e">
        <f t="shared" si="296"/>
        <v>#VALUE!</v>
      </c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</row>
    <row r="372" spans="1:61" ht="16.5" customHeight="1" outlineLevel="2">
      <c r="A372" s="207">
        <f t="shared" si="286"/>
        <v>347</v>
      </c>
      <c r="B372" s="207">
        <v>11</v>
      </c>
      <c r="C372" s="245" t="s">
        <v>1633</v>
      </c>
      <c r="D372" s="209">
        <v>8928.3094543521038</v>
      </c>
      <c r="E372" s="504" t="s">
        <v>104</v>
      </c>
      <c r="F372" s="213">
        <f t="shared" si="298"/>
        <v>16537.815999999999</v>
      </c>
      <c r="G372" s="207"/>
      <c r="H372" s="281">
        <f t="shared" si="288"/>
        <v>2017</v>
      </c>
      <c r="I372" s="212" t="s">
        <v>1140</v>
      </c>
      <c r="J372" s="213">
        <v>16537.815999999999</v>
      </c>
      <c r="K372" s="213">
        <v>0</v>
      </c>
      <c r="L372" s="213">
        <v>16537.815999999999</v>
      </c>
      <c r="M372" s="213">
        <f t="shared" si="289"/>
        <v>16537.815999999999</v>
      </c>
      <c r="N372" s="207"/>
      <c r="O372" s="253" t="s">
        <v>1634</v>
      </c>
      <c r="P372" s="230">
        <v>14931</v>
      </c>
      <c r="Q372" s="230">
        <v>0</v>
      </c>
      <c r="R372" s="230">
        <v>14931</v>
      </c>
      <c r="S372" s="213">
        <f t="shared" si="290"/>
        <v>14931</v>
      </c>
      <c r="T372" s="216"/>
      <c r="U372" s="221"/>
      <c r="V372" s="216"/>
      <c r="W372" s="216"/>
      <c r="X372" s="216"/>
      <c r="Y372" s="213">
        <f t="shared" si="291"/>
        <v>0</v>
      </c>
      <c r="Z372" s="222" t="s">
        <v>1097</v>
      </c>
      <c r="AA372" s="228"/>
      <c r="AB372" s="218"/>
      <c r="AC372" s="220"/>
      <c r="AD372" s="220"/>
      <c r="AE372" s="220" t="str">
        <f t="shared" si="292"/>
        <v/>
      </c>
      <c r="AF372" s="229"/>
      <c r="AG372" s="220" t="str">
        <f t="shared" si="293"/>
        <v>2</v>
      </c>
      <c r="AH372" s="220" t="str">
        <f t="shared" si="294"/>
        <v>1</v>
      </c>
      <c r="AI372" s="220"/>
      <c r="AJ372" s="221" t="str">
        <f t="shared" si="295"/>
        <v>1</v>
      </c>
      <c r="AK372" s="220" t="str">
        <f t="shared" si="296"/>
        <v>2.1..1</v>
      </c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</row>
    <row r="373" spans="1:61" ht="16.5" customHeight="1" outlineLevel="2">
      <c r="A373" s="207">
        <f t="shared" si="286"/>
        <v>348</v>
      </c>
      <c r="B373" s="207">
        <v>12</v>
      </c>
      <c r="C373" s="245" t="s">
        <v>1635</v>
      </c>
      <c r="D373" s="209">
        <v>24295.990933070618</v>
      </c>
      <c r="E373" s="504" t="s">
        <v>91</v>
      </c>
      <c r="F373" s="213">
        <f t="shared" ref="F373:F374" si="299">Y373</f>
        <v>20315.52</v>
      </c>
      <c r="G373" s="207"/>
      <c r="H373" s="281">
        <f t="shared" si="288"/>
        <v>2016</v>
      </c>
      <c r="I373" s="212" t="s">
        <v>926</v>
      </c>
      <c r="J373" s="213">
        <v>39425.54</v>
      </c>
      <c r="K373" s="213">
        <v>2680.82</v>
      </c>
      <c r="L373" s="213">
        <v>42107</v>
      </c>
      <c r="M373" s="213">
        <f t="shared" si="289"/>
        <v>42107</v>
      </c>
      <c r="N373" s="207"/>
      <c r="O373" s="253"/>
      <c r="P373" s="230"/>
      <c r="Q373" s="230"/>
      <c r="R373" s="230"/>
      <c r="S373" s="213">
        <f t="shared" si="290"/>
        <v>0</v>
      </c>
      <c r="T373" s="216" t="s">
        <v>1076</v>
      </c>
      <c r="U373" s="221" t="s">
        <v>1636</v>
      </c>
      <c r="V373" s="216">
        <v>20315.52</v>
      </c>
      <c r="W373" s="216">
        <v>5962.77</v>
      </c>
      <c r="X373" s="216"/>
      <c r="Y373" s="213">
        <f t="shared" si="291"/>
        <v>20315.52</v>
      </c>
      <c r="Z373" s="222">
        <v>2021</v>
      </c>
      <c r="AA373" s="228"/>
      <c r="AB373" s="218"/>
      <c r="AC373" s="220"/>
      <c r="AD373" s="220"/>
      <c r="AE373" s="220" t="str">
        <f t="shared" si="292"/>
        <v>V</v>
      </c>
      <c r="AF373" s="229"/>
      <c r="AG373" s="220" t="str">
        <f t="shared" si="293"/>
        <v>2</v>
      </c>
      <c r="AH373" s="220" t="str">
        <f t="shared" si="294"/>
        <v>1</v>
      </c>
      <c r="AI373" s="220"/>
      <c r="AJ373" s="221" t="str">
        <f t="shared" si="295"/>
        <v>1</v>
      </c>
      <c r="AK373" s="220" t="str">
        <f t="shared" si="296"/>
        <v>2.1..1</v>
      </c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</row>
    <row r="374" spans="1:61" ht="16.5" customHeight="1" outlineLevel="2">
      <c r="A374" s="207">
        <f t="shared" si="286"/>
        <v>349</v>
      </c>
      <c r="B374" s="207">
        <v>13</v>
      </c>
      <c r="C374" s="245" t="s">
        <v>1637</v>
      </c>
      <c r="D374" s="209">
        <v>31222.800573772765</v>
      </c>
      <c r="E374" s="504" t="s">
        <v>91</v>
      </c>
      <c r="F374" s="213">
        <f t="shared" si="299"/>
        <v>25428.240000000002</v>
      </c>
      <c r="G374" s="207"/>
      <c r="H374" s="281">
        <f t="shared" si="288"/>
        <v>2014</v>
      </c>
      <c r="I374" s="212" t="s">
        <v>270</v>
      </c>
      <c r="J374" s="213">
        <v>45904</v>
      </c>
      <c r="K374" s="213">
        <v>0</v>
      </c>
      <c r="L374" s="213">
        <v>45904</v>
      </c>
      <c r="M374" s="213">
        <f t="shared" si="289"/>
        <v>45904</v>
      </c>
      <c r="N374" s="207"/>
      <c r="O374" s="253"/>
      <c r="P374" s="230"/>
      <c r="Q374" s="230"/>
      <c r="R374" s="230"/>
      <c r="S374" s="213">
        <f t="shared" si="290"/>
        <v>0</v>
      </c>
      <c r="T374" s="216" t="s">
        <v>1076</v>
      </c>
      <c r="U374" s="221" t="s">
        <v>692</v>
      </c>
      <c r="V374" s="216">
        <v>25428.240000000002</v>
      </c>
      <c r="W374" s="216"/>
      <c r="X374" s="216"/>
      <c r="Y374" s="213">
        <f t="shared" si="291"/>
        <v>25428.240000000002</v>
      </c>
      <c r="Z374" s="222">
        <v>2021</v>
      </c>
      <c r="AA374" s="228"/>
      <c r="AB374" s="218"/>
      <c r="AC374" s="220"/>
      <c r="AD374" s="220"/>
      <c r="AE374" s="220" t="str">
        <f t="shared" si="292"/>
        <v>V</v>
      </c>
      <c r="AF374" s="229"/>
      <c r="AG374" s="220" t="str">
        <f t="shared" si="293"/>
        <v>2</v>
      </c>
      <c r="AH374" s="220" t="str">
        <f t="shared" si="294"/>
        <v>1</v>
      </c>
      <c r="AI374" s="220"/>
      <c r="AJ374" s="221" t="str">
        <f t="shared" si="295"/>
        <v>1</v>
      </c>
      <c r="AK374" s="220" t="str">
        <f t="shared" si="296"/>
        <v>2.1..1</v>
      </c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</row>
    <row r="375" spans="1:61" ht="16.5" customHeight="1" outlineLevel="1">
      <c r="A375" s="207"/>
      <c r="B375" s="201"/>
      <c r="C375" s="249" t="s">
        <v>1638</v>
      </c>
      <c r="D375" s="250">
        <f>SUM(D362:D374)</f>
        <v>291145.2037258179</v>
      </c>
      <c r="E375" s="238">
        <f>COUNTIF(E362:E374,"D") + COUNTIF(E362:E374,"DS")</f>
        <v>13</v>
      </c>
      <c r="F375" s="250">
        <f t="shared" ref="F375:G375" si="300">SUM(F362:F374)</f>
        <v>304060.826</v>
      </c>
      <c r="G375" s="250">
        <f t="shared" si="300"/>
        <v>0</v>
      </c>
      <c r="H375" s="301"/>
      <c r="I375" s="249">
        <f t="shared" ref="I375:S375" si="301">SUM(I362:I374)</f>
        <v>0</v>
      </c>
      <c r="J375" s="250">
        <f t="shared" si="301"/>
        <v>335512.35599999997</v>
      </c>
      <c r="K375" s="250">
        <f t="shared" si="301"/>
        <v>6310.82</v>
      </c>
      <c r="L375" s="250">
        <f t="shared" si="301"/>
        <v>383829.81599999999</v>
      </c>
      <c r="M375" s="250">
        <f t="shared" si="301"/>
        <v>383829.81599999999</v>
      </c>
      <c r="N375" s="250">
        <f t="shared" si="301"/>
        <v>0</v>
      </c>
      <c r="O375" s="237">
        <f t="shared" si="301"/>
        <v>0</v>
      </c>
      <c r="P375" s="250">
        <f t="shared" si="301"/>
        <v>58839</v>
      </c>
      <c r="Q375" s="250">
        <f t="shared" si="301"/>
        <v>17921</v>
      </c>
      <c r="R375" s="250">
        <f t="shared" si="301"/>
        <v>76760</v>
      </c>
      <c r="S375" s="250">
        <f t="shared" si="301"/>
        <v>76760</v>
      </c>
      <c r="T375" s="203">
        <v>5</v>
      </c>
      <c r="U375" s="203">
        <v>6</v>
      </c>
      <c r="V375" s="203">
        <f t="shared" ref="V375:Y375" si="302">SUM(V362:V374)</f>
        <v>159040.00999999998</v>
      </c>
      <c r="W375" s="203">
        <f t="shared" si="302"/>
        <v>43455.56</v>
      </c>
      <c r="X375" s="203">
        <f t="shared" si="302"/>
        <v>0</v>
      </c>
      <c r="Y375" s="250">
        <f t="shared" si="302"/>
        <v>159040.00999999998</v>
      </c>
      <c r="Z375" s="243" t="s">
        <v>1138</v>
      </c>
      <c r="AA375" s="302"/>
      <c r="AB375" s="303"/>
      <c r="AC375" s="304"/>
      <c r="AD375" s="304"/>
      <c r="AE375" s="244">
        <f>COUNTIF(AE362:AE374,"V") + COUNTIF(AE362:AE374,"VV") + COUNTIF(AE362:AE374,"VVV")</f>
        <v>7</v>
      </c>
      <c r="AF375" s="305"/>
      <c r="AG375" s="220"/>
      <c r="AH375" s="220"/>
      <c r="AI375" s="304"/>
      <c r="AJ375" s="221"/>
      <c r="AK375" s="220"/>
      <c r="AL375" s="306"/>
      <c r="AM375" s="306"/>
      <c r="AN375" s="306"/>
      <c r="AO375" s="306"/>
      <c r="AP375" s="306"/>
      <c r="AQ375" s="306"/>
      <c r="AR375" s="306"/>
      <c r="AS375" s="306"/>
      <c r="AT375" s="306"/>
      <c r="AU375" s="306"/>
      <c r="AV375" s="306"/>
      <c r="AW375" s="306"/>
      <c r="AX375" s="306"/>
      <c r="AY375" s="306"/>
      <c r="AZ375" s="306"/>
      <c r="BA375" s="306"/>
      <c r="BB375" s="306"/>
      <c r="BC375" s="306"/>
      <c r="BD375" s="306"/>
      <c r="BE375" s="306"/>
      <c r="BF375" s="306"/>
      <c r="BG375" s="306"/>
      <c r="BH375" s="306"/>
      <c r="BI375" s="306"/>
    </row>
    <row r="376" spans="1:61" ht="16.5" customHeight="1" outlineLevel="1">
      <c r="A376" s="207">
        <f t="shared" ref="A376:A385" si="303">SUBTOTAL(3,$B$6:B376)</f>
        <v>350</v>
      </c>
      <c r="B376" s="207">
        <v>1</v>
      </c>
      <c r="C376" s="208" t="s">
        <v>1639</v>
      </c>
      <c r="D376" s="247">
        <v>1919.023171677256</v>
      </c>
      <c r="E376" s="504" t="s">
        <v>661</v>
      </c>
      <c r="F376" s="213">
        <f t="shared" ref="F376:F385" si="304">IF(M376&gt;0,M376,IF(S376&gt;0,S376,IF(Y376&gt;0,Y376,0)))</f>
        <v>0</v>
      </c>
      <c r="G376" s="207"/>
      <c r="H376" s="281" t="e">
        <f t="shared" ref="H376:H385" si="305">VALUE(RIGHT(I376,4))</f>
        <v>#VALUE!</v>
      </c>
      <c r="I376" s="212"/>
      <c r="J376" s="213"/>
      <c r="K376" s="213"/>
      <c r="L376" s="213"/>
      <c r="M376" s="213">
        <f t="shared" ref="M376:M385" si="306">IF(L376&gt;0,L376,IF(J376&gt;0,J376,0))</f>
        <v>0</v>
      </c>
      <c r="N376" s="207"/>
      <c r="O376" s="231"/>
      <c r="P376" s="230"/>
      <c r="Q376" s="230"/>
      <c r="R376" s="230"/>
      <c r="S376" s="213">
        <f t="shared" ref="S376:S385" si="307">IF(R376&gt;0,R376,IF(P376&gt;0,P376,0))</f>
        <v>0</v>
      </c>
      <c r="T376" s="216"/>
      <c r="U376" s="207"/>
      <c r="V376" s="216"/>
      <c r="W376" s="216"/>
      <c r="X376" s="216"/>
      <c r="Y376" s="213">
        <f t="shared" ref="Y376:Y385" si="308">IF(X376&gt;0,X376,IF(V376&gt;0,V376,0))</f>
        <v>0</v>
      </c>
      <c r="Z376" s="222" t="s">
        <v>1097</v>
      </c>
      <c r="AA376" s="228"/>
      <c r="AB376" s="218"/>
      <c r="AC376" s="220"/>
      <c r="AD376" s="220"/>
      <c r="AE376" s="220" t="str">
        <f t="shared" ref="AE376:AE385" si="309">CONCATENATE(G376,N376,T376)</f>
        <v/>
      </c>
      <c r="AF376" s="229"/>
      <c r="AG376" s="220" t="e">
        <f t="shared" ref="AG376:AG385" si="310">IF(H376=0,"3",IF(H376&lt;=2018,"2","1"))</f>
        <v>#VALUE!</v>
      </c>
      <c r="AH376" s="220" t="str">
        <f t="shared" ref="AH376:AH391" si="311">IF(M376&gt;0,"1","2")</f>
        <v>2</v>
      </c>
      <c r="AI376" s="220"/>
      <c r="AJ376" s="221" t="str">
        <f t="shared" ref="AJ376:AJ391" si="312">IF(S376&gt;0,"1",IF(Y376&gt;0,"1","2"))</f>
        <v>2</v>
      </c>
      <c r="AK376" s="220" t="e">
        <f t="shared" ref="AK376:AK391" si="313">CONCATENATE(AG376,".",AH376,".",AI376,".",AJ376)</f>
        <v>#VALUE!</v>
      </c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</row>
    <row r="377" spans="1:61" ht="16.5" customHeight="1" outlineLevel="2">
      <c r="A377" s="207">
        <f t="shared" si="303"/>
        <v>351</v>
      </c>
      <c r="B377" s="207">
        <v>2</v>
      </c>
      <c r="C377" s="208" t="s">
        <v>1640</v>
      </c>
      <c r="D377" s="247">
        <v>132.51645454821806</v>
      </c>
      <c r="E377" s="504" t="s">
        <v>104</v>
      </c>
      <c r="F377" s="213">
        <f t="shared" si="304"/>
        <v>130</v>
      </c>
      <c r="G377" s="207"/>
      <c r="H377" s="281">
        <f t="shared" si="305"/>
        <v>2012</v>
      </c>
      <c r="I377" s="212" t="s">
        <v>682</v>
      </c>
      <c r="J377" s="213">
        <v>130</v>
      </c>
      <c r="K377" s="213">
        <v>0</v>
      </c>
      <c r="L377" s="213">
        <v>130</v>
      </c>
      <c r="M377" s="213">
        <f t="shared" si="306"/>
        <v>130</v>
      </c>
      <c r="N377" s="207"/>
      <c r="O377" s="231" t="s">
        <v>1641</v>
      </c>
      <c r="P377" s="230"/>
      <c r="Q377" s="230"/>
      <c r="R377" s="230"/>
      <c r="S377" s="213">
        <f t="shared" si="307"/>
        <v>0</v>
      </c>
      <c r="T377" s="216"/>
      <c r="U377" s="207"/>
      <c r="V377" s="216"/>
      <c r="W377" s="216"/>
      <c r="X377" s="216"/>
      <c r="Y377" s="213">
        <f t="shared" si="308"/>
        <v>0</v>
      </c>
      <c r="Z377" s="222" t="s">
        <v>1097</v>
      </c>
      <c r="AA377" s="228"/>
      <c r="AB377" s="218"/>
      <c r="AC377" s="220"/>
      <c r="AD377" s="220"/>
      <c r="AE377" s="220" t="str">
        <f t="shared" si="309"/>
        <v/>
      </c>
      <c r="AF377" s="229"/>
      <c r="AG377" s="220" t="str">
        <f t="shared" si="310"/>
        <v>2</v>
      </c>
      <c r="AH377" s="220" t="str">
        <f t="shared" si="311"/>
        <v>1</v>
      </c>
      <c r="AI377" s="220"/>
      <c r="AJ377" s="221" t="str">
        <f t="shared" si="312"/>
        <v>2</v>
      </c>
      <c r="AK377" s="220" t="str">
        <f t="shared" si="313"/>
        <v>2.1..2</v>
      </c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</row>
    <row r="378" spans="1:61" ht="16.5" customHeight="1" outlineLevel="2">
      <c r="A378" s="207">
        <f t="shared" si="303"/>
        <v>352</v>
      </c>
      <c r="B378" s="207">
        <v>3</v>
      </c>
      <c r="C378" s="208" t="s">
        <v>1642</v>
      </c>
      <c r="D378" s="247">
        <v>65.215153281266396</v>
      </c>
      <c r="E378" s="504" t="s">
        <v>91</v>
      </c>
      <c r="F378" s="213">
        <f t="shared" si="304"/>
        <v>12.69</v>
      </c>
      <c r="G378" s="207" t="s">
        <v>1076</v>
      </c>
      <c r="H378" s="223">
        <f t="shared" si="305"/>
        <v>2019</v>
      </c>
      <c r="I378" s="248" t="s">
        <v>454</v>
      </c>
      <c r="J378" s="246">
        <v>9.24</v>
      </c>
      <c r="K378" s="246">
        <v>0</v>
      </c>
      <c r="L378" s="246">
        <v>12.69</v>
      </c>
      <c r="M378" s="213">
        <f t="shared" si="306"/>
        <v>12.69</v>
      </c>
      <c r="N378" s="207"/>
      <c r="O378" s="231"/>
      <c r="P378" s="230"/>
      <c r="Q378" s="230"/>
      <c r="R378" s="230"/>
      <c r="S378" s="213">
        <f t="shared" si="307"/>
        <v>0</v>
      </c>
      <c r="T378" s="216"/>
      <c r="U378" s="207"/>
      <c r="V378" s="216"/>
      <c r="W378" s="216"/>
      <c r="X378" s="216"/>
      <c r="Y378" s="213">
        <f t="shared" si="308"/>
        <v>0</v>
      </c>
      <c r="Z378" s="222">
        <v>2020</v>
      </c>
      <c r="AA378" s="228"/>
      <c r="AB378" s="218"/>
      <c r="AC378" s="220"/>
      <c r="AD378" s="220"/>
      <c r="AE378" s="220" t="str">
        <f t="shared" si="309"/>
        <v>V</v>
      </c>
      <c r="AF378" s="229"/>
      <c r="AG378" s="220" t="str">
        <f t="shared" si="310"/>
        <v>1</v>
      </c>
      <c r="AH378" s="220" t="str">
        <f t="shared" si="311"/>
        <v>1</v>
      </c>
      <c r="AI378" s="220"/>
      <c r="AJ378" s="221" t="str">
        <f t="shared" si="312"/>
        <v>2</v>
      </c>
      <c r="AK378" s="220" t="str">
        <f t="shared" si="313"/>
        <v>1.1..2</v>
      </c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</row>
    <row r="379" spans="1:61" ht="16.5" customHeight="1" outlineLevel="2">
      <c r="A379" s="207">
        <f t="shared" si="303"/>
        <v>353</v>
      </c>
      <c r="B379" s="207">
        <v>4</v>
      </c>
      <c r="C379" s="208" t="s">
        <v>1643</v>
      </c>
      <c r="D379" s="247">
        <v>2059.5280860908742</v>
      </c>
      <c r="E379" s="504" t="s">
        <v>91</v>
      </c>
      <c r="F379" s="213">
        <f t="shared" si="304"/>
        <v>1230.8800000000001</v>
      </c>
      <c r="G379" s="207"/>
      <c r="H379" s="281" t="e">
        <f t="shared" si="305"/>
        <v>#VALUE!</v>
      </c>
      <c r="I379" s="212"/>
      <c r="J379" s="213"/>
      <c r="K379" s="213"/>
      <c r="L379" s="213"/>
      <c r="M379" s="213">
        <f t="shared" si="306"/>
        <v>0</v>
      </c>
      <c r="N379" s="207" t="s">
        <v>1076</v>
      </c>
      <c r="O379" s="231" t="s">
        <v>721</v>
      </c>
      <c r="P379" s="230">
        <v>1230.8800000000001</v>
      </c>
      <c r="Q379" s="230">
        <v>0</v>
      </c>
      <c r="R379" s="230">
        <v>0</v>
      </c>
      <c r="S379" s="213">
        <f t="shared" si="307"/>
        <v>1230.8800000000001</v>
      </c>
      <c r="T379" s="216"/>
      <c r="U379" s="207"/>
      <c r="V379" s="216"/>
      <c r="W379" s="216"/>
      <c r="X379" s="216"/>
      <c r="Y379" s="213">
        <f t="shared" si="308"/>
        <v>0</v>
      </c>
      <c r="Z379" s="222">
        <v>2020</v>
      </c>
      <c r="AA379" s="228"/>
      <c r="AB379" s="218"/>
      <c r="AC379" s="220"/>
      <c r="AD379" s="220"/>
      <c r="AE379" s="220" t="str">
        <f t="shared" si="309"/>
        <v>V</v>
      </c>
      <c r="AF379" s="229"/>
      <c r="AG379" s="220" t="e">
        <f t="shared" si="310"/>
        <v>#VALUE!</v>
      </c>
      <c r="AH379" s="220" t="str">
        <f t="shared" si="311"/>
        <v>2</v>
      </c>
      <c r="AI379" s="220"/>
      <c r="AJ379" s="221" t="str">
        <f t="shared" si="312"/>
        <v>1</v>
      </c>
      <c r="AK379" s="220" t="e">
        <f t="shared" si="313"/>
        <v>#VALUE!</v>
      </c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</row>
    <row r="380" spans="1:61" ht="16.5" customHeight="1" outlineLevel="2">
      <c r="A380" s="207">
        <f t="shared" si="303"/>
        <v>354</v>
      </c>
      <c r="B380" s="207">
        <v>5</v>
      </c>
      <c r="C380" s="208" t="s">
        <v>1644</v>
      </c>
      <c r="D380" s="247">
        <v>171.94104374288301</v>
      </c>
      <c r="E380" s="504" t="s">
        <v>104</v>
      </c>
      <c r="F380" s="213">
        <f t="shared" si="304"/>
        <v>182687.96</v>
      </c>
      <c r="G380" s="207"/>
      <c r="H380" s="281">
        <f t="shared" si="305"/>
        <v>2013</v>
      </c>
      <c r="I380" s="212" t="s">
        <v>723</v>
      </c>
      <c r="J380" s="213">
        <v>182687.96</v>
      </c>
      <c r="K380" s="213">
        <v>0</v>
      </c>
      <c r="L380" s="213">
        <v>182687.96</v>
      </c>
      <c r="M380" s="213">
        <f t="shared" si="306"/>
        <v>182687.96</v>
      </c>
      <c r="N380" s="207"/>
      <c r="O380" s="231"/>
      <c r="P380" s="230"/>
      <c r="Q380" s="230"/>
      <c r="R380" s="230"/>
      <c r="S380" s="213">
        <f t="shared" si="307"/>
        <v>0</v>
      </c>
      <c r="T380" s="216"/>
      <c r="U380" s="207"/>
      <c r="V380" s="216"/>
      <c r="W380" s="216"/>
      <c r="X380" s="216"/>
      <c r="Y380" s="213">
        <f t="shared" si="308"/>
        <v>0</v>
      </c>
      <c r="Z380" s="222" t="s">
        <v>1097</v>
      </c>
      <c r="AA380" s="228"/>
      <c r="AB380" s="218"/>
      <c r="AC380" s="220"/>
      <c r="AD380" s="220"/>
      <c r="AE380" s="220" t="str">
        <f t="shared" si="309"/>
        <v/>
      </c>
      <c r="AF380" s="229"/>
      <c r="AG380" s="220" t="str">
        <f t="shared" si="310"/>
        <v>2</v>
      </c>
      <c r="AH380" s="220" t="str">
        <f t="shared" si="311"/>
        <v>1</v>
      </c>
      <c r="AI380" s="220"/>
      <c r="AJ380" s="221" t="str">
        <f t="shared" si="312"/>
        <v>2</v>
      </c>
      <c r="AK380" s="220" t="str">
        <f t="shared" si="313"/>
        <v>2.1..2</v>
      </c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</row>
    <row r="381" spans="1:61" ht="16.5" customHeight="1" outlineLevel="2">
      <c r="A381" s="207">
        <f t="shared" si="303"/>
        <v>355</v>
      </c>
      <c r="B381" s="207">
        <v>6</v>
      </c>
      <c r="C381" s="208" t="s">
        <v>1645</v>
      </c>
      <c r="D381" s="247">
        <v>2638.8489298972586</v>
      </c>
      <c r="E381" s="504" t="s">
        <v>661</v>
      </c>
      <c r="F381" s="213">
        <f t="shared" si="304"/>
        <v>0</v>
      </c>
      <c r="G381" s="207"/>
      <c r="H381" s="281" t="e">
        <f t="shared" si="305"/>
        <v>#VALUE!</v>
      </c>
      <c r="I381" s="212"/>
      <c r="J381" s="213"/>
      <c r="K381" s="213"/>
      <c r="L381" s="213"/>
      <c r="M381" s="213">
        <f t="shared" si="306"/>
        <v>0</v>
      </c>
      <c r="N381" s="207"/>
      <c r="O381" s="231"/>
      <c r="P381" s="230"/>
      <c r="Q381" s="230"/>
      <c r="R381" s="230"/>
      <c r="S381" s="213">
        <f t="shared" si="307"/>
        <v>0</v>
      </c>
      <c r="T381" s="216"/>
      <c r="U381" s="207"/>
      <c r="V381" s="216"/>
      <c r="W381" s="216"/>
      <c r="X381" s="216"/>
      <c r="Y381" s="213">
        <f t="shared" si="308"/>
        <v>0</v>
      </c>
      <c r="Z381" s="222" t="s">
        <v>1097</v>
      </c>
      <c r="AA381" s="228"/>
      <c r="AB381" s="218"/>
      <c r="AC381" s="220"/>
      <c r="AD381" s="220"/>
      <c r="AE381" s="220" t="str">
        <f t="shared" si="309"/>
        <v/>
      </c>
      <c r="AF381" s="229"/>
      <c r="AG381" s="220" t="e">
        <f t="shared" si="310"/>
        <v>#VALUE!</v>
      </c>
      <c r="AH381" s="220" t="str">
        <f t="shared" si="311"/>
        <v>2</v>
      </c>
      <c r="AI381" s="220"/>
      <c r="AJ381" s="221" t="str">
        <f t="shared" si="312"/>
        <v>2</v>
      </c>
      <c r="AK381" s="220" t="e">
        <f t="shared" si="313"/>
        <v>#VALUE!</v>
      </c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</row>
    <row r="382" spans="1:61" ht="16.5" customHeight="1" outlineLevel="2">
      <c r="A382" s="207">
        <f t="shared" si="303"/>
        <v>356</v>
      </c>
      <c r="B382" s="207">
        <v>7</v>
      </c>
      <c r="C382" s="208" t="s">
        <v>1646</v>
      </c>
      <c r="D382" s="247">
        <v>18659.440782212707</v>
      </c>
      <c r="E382" s="504" t="s">
        <v>104</v>
      </c>
      <c r="F382" s="213">
        <f t="shared" si="304"/>
        <v>48110</v>
      </c>
      <c r="G382" s="207"/>
      <c r="H382" s="281">
        <f t="shared" si="305"/>
        <v>2013</v>
      </c>
      <c r="I382" s="212" t="s">
        <v>1647</v>
      </c>
      <c r="J382" s="213">
        <v>48110</v>
      </c>
      <c r="K382" s="213">
        <v>0</v>
      </c>
      <c r="L382" s="213">
        <v>48110</v>
      </c>
      <c r="M382" s="213">
        <f t="shared" si="306"/>
        <v>48110</v>
      </c>
      <c r="N382" s="207"/>
      <c r="O382" s="253" t="s">
        <v>1648</v>
      </c>
      <c r="P382" s="230">
        <v>0</v>
      </c>
      <c r="Q382" s="230">
        <v>0</v>
      </c>
      <c r="R382" s="230">
        <v>0</v>
      </c>
      <c r="S382" s="213">
        <f t="shared" si="307"/>
        <v>0</v>
      </c>
      <c r="T382" s="216"/>
      <c r="U382" s="221"/>
      <c r="V382" s="216"/>
      <c r="W382" s="216"/>
      <c r="X382" s="216"/>
      <c r="Y382" s="213">
        <f t="shared" si="308"/>
        <v>0</v>
      </c>
      <c r="Z382" s="222" t="s">
        <v>1129</v>
      </c>
      <c r="AA382" s="228" t="s">
        <v>1160</v>
      </c>
      <c r="AB382" s="218"/>
      <c r="AC382" s="220"/>
      <c r="AD382" s="220"/>
      <c r="AE382" s="220" t="str">
        <f t="shared" si="309"/>
        <v/>
      </c>
      <c r="AF382" s="229"/>
      <c r="AG382" s="220" t="str">
        <f t="shared" si="310"/>
        <v>2</v>
      </c>
      <c r="AH382" s="220" t="str">
        <f t="shared" si="311"/>
        <v>1</v>
      </c>
      <c r="AI382" s="220"/>
      <c r="AJ382" s="221" t="str">
        <f t="shared" si="312"/>
        <v>2</v>
      </c>
      <c r="AK382" s="220" t="str">
        <f t="shared" si="313"/>
        <v>2.1..2</v>
      </c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</row>
    <row r="383" spans="1:61" ht="16.5" customHeight="1" outlineLevel="2">
      <c r="A383" s="207">
        <f t="shared" si="303"/>
        <v>357</v>
      </c>
      <c r="B383" s="207">
        <v>8</v>
      </c>
      <c r="C383" s="208" t="s">
        <v>1649</v>
      </c>
      <c r="D383" s="247">
        <v>24.355749734300002</v>
      </c>
      <c r="E383" s="504" t="s">
        <v>104</v>
      </c>
      <c r="F383" s="213">
        <f t="shared" si="304"/>
        <v>79</v>
      </c>
      <c r="G383" s="207"/>
      <c r="H383" s="281">
        <f t="shared" si="305"/>
        <v>2021</v>
      </c>
      <c r="I383" s="212" t="s">
        <v>149</v>
      </c>
      <c r="J383" s="213"/>
      <c r="K383" s="213"/>
      <c r="L383" s="213">
        <v>79</v>
      </c>
      <c r="M383" s="213">
        <f t="shared" si="306"/>
        <v>79</v>
      </c>
      <c r="N383" s="207"/>
      <c r="O383" s="253"/>
      <c r="P383" s="230"/>
      <c r="Q383" s="230"/>
      <c r="R383" s="230"/>
      <c r="S383" s="213">
        <f t="shared" si="307"/>
        <v>0</v>
      </c>
      <c r="T383" s="216"/>
      <c r="U383" s="221"/>
      <c r="V383" s="216"/>
      <c r="W383" s="216"/>
      <c r="X383" s="216"/>
      <c r="Y383" s="213">
        <f t="shared" si="308"/>
        <v>0</v>
      </c>
      <c r="Z383" s="222" t="s">
        <v>1097</v>
      </c>
      <c r="AA383" s="228"/>
      <c r="AB383" s="218"/>
      <c r="AC383" s="220"/>
      <c r="AD383" s="220"/>
      <c r="AE383" s="220" t="str">
        <f t="shared" si="309"/>
        <v/>
      </c>
      <c r="AF383" s="229"/>
      <c r="AG383" s="220" t="str">
        <f t="shared" si="310"/>
        <v>1</v>
      </c>
      <c r="AH383" s="220" t="str">
        <f t="shared" si="311"/>
        <v>1</v>
      </c>
      <c r="AI383" s="220"/>
      <c r="AJ383" s="221" t="str">
        <f t="shared" si="312"/>
        <v>2</v>
      </c>
      <c r="AK383" s="220" t="str">
        <f t="shared" si="313"/>
        <v>1.1..2</v>
      </c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</row>
    <row r="384" spans="1:61" ht="16.5" customHeight="1" outlineLevel="2">
      <c r="A384" s="207">
        <f t="shared" si="303"/>
        <v>358</v>
      </c>
      <c r="B384" s="207">
        <v>9</v>
      </c>
      <c r="C384" s="208" t="s">
        <v>1650</v>
      </c>
      <c r="D384" s="247">
        <v>8360.8090472080257</v>
      </c>
      <c r="E384" s="504" t="s">
        <v>661</v>
      </c>
      <c r="F384" s="213">
        <f t="shared" si="304"/>
        <v>0</v>
      </c>
      <c r="G384" s="207"/>
      <c r="H384" s="281" t="e">
        <f t="shared" si="305"/>
        <v>#VALUE!</v>
      </c>
      <c r="I384" s="212"/>
      <c r="J384" s="213"/>
      <c r="K384" s="213"/>
      <c r="L384" s="213"/>
      <c r="M384" s="213">
        <f t="shared" si="306"/>
        <v>0</v>
      </c>
      <c r="N384" s="207"/>
      <c r="O384" s="253"/>
      <c r="P384" s="230"/>
      <c r="Q384" s="230"/>
      <c r="R384" s="230"/>
      <c r="S384" s="213">
        <f t="shared" si="307"/>
        <v>0</v>
      </c>
      <c r="T384" s="216"/>
      <c r="U384" s="221"/>
      <c r="V384" s="216"/>
      <c r="W384" s="216"/>
      <c r="X384" s="216"/>
      <c r="Y384" s="213">
        <f t="shared" si="308"/>
        <v>0</v>
      </c>
      <c r="Z384" s="222" t="s">
        <v>1097</v>
      </c>
      <c r="AA384" s="228"/>
      <c r="AB384" s="218"/>
      <c r="AC384" s="220"/>
      <c r="AD384" s="220"/>
      <c r="AE384" s="220" t="str">
        <f t="shared" si="309"/>
        <v/>
      </c>
      <c r="AF384" s="229"/>
      <c r="AG384" s="220" t="e">
        <f t="shared" si="310"/>
        <v>#VALUE!</v>
      </c>
      <c r="AH384" s="220" t="str">
        <f t="shared" si="311"/>
        <v>2</v>
      </c>
      <c r="AI384" s="220"/>
      <c r="AJ384" s="221" t="str">
        <f t="shared" si="312"/>
        <v>2</v>
      </c>
      <c r="AK384" s="220" t="e">
        <f t="shared" si="313"/>
        <v>#VALUE!</v>
      </c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</row>
    <row r="385" spans="1:61" ht="16.5" customHeight="1" outlineLevel="2">
      <c r="A385" s="207">
        <f t="shared" si="303"/>
        <v>359</v>
      </c>
      <c r="B385" s="207">
        <v>10</v>
      </c>
      <c r="C385" s="208" t="s">
        <v>1651</v>
      </c>
      <c r="D385" s="247">
        <v>7374.0272862905713</v>
      </c>
      <c r="E385" s="504" t="s">
        <v>91</v>
      </c>
      <c r="F385" s="213">
        <f t="shared" si="304"/>
        <v>12534</v>
      </c>
      <c r="G385" s="207" t="s">
        <v>1076</v>
      </c>
      <c r="H385" s="281">
        <f t="shared" si="305"/>
        <v>2014</v>
      </c>
      <c r="I385" s="212" t="s">
        <v>729</v>
      </c>
      <c r="J385" s="213">
        <v>12534</v>
      </c>
      <c r="K385" s="213">
        <v>0</v>
      </c>
      <c r="L385" s="213">
        <v>12534</v>
      </c>
      <c r="M385" s="213">
        <f t="shared" si="306"/>
        <v>12534</v>
      </c>
      <c r="N385" s="207"/>
      <c r="O385" s="253" t="s">
        <v>1652</v>
      </c>
      <c r="P385" s="230">
        <v>9047</v>
      </c>
      <c r="Q385" s="230">
        <v>0</v>
      </c>
      <c r="R385" s="230">
        <v>0</v>
      </c>
      <c r="S385" s="213">
        <f t="shared" si="307"/>
        <v>9047</v>
      </c>
      <c r="T385" s="216"/>
      <c r="U385" s="221"/>
      <c r="V385" s="216"/>
      <c r="W385" s="216"/>
      <c r="X385" s="216"/>
      <c r="Y385" s="213">
        <f t="shared" si="308"/>
        <v>0</v>
      </c>
      <c r="Z385" s="222">
        <v>2020</v>
      </c>
      <c r="AA385" s="228"/>
      <c r="AB385" s="218"/>
      <c r="AC385" s="220"/>
      <c r="AD385" s="220"/>
      <c r="AE385" s="220" t="str">
        <f t="shared" si="309"/>
        <v>V</v>
      </c>
      <c r="AF385" s="229"/>
      <c r="AG385" s="220" t="str">
        <f t="shared" si="310"/>
        <v>2</v>
      </c>
      <c r="AH385" s="220" t="str">
        <f t="shared" si="311"/>
        <v>1</v>
      </c>
      <c r="AI385" s="220"/>
      <c r="AJ385" s="221" t="str">
        <f t="shared" si="312"/>
        <v>1</v>
      </c>
      <c r="AK385" s="220" t="str">
        <f t="shared" si="313"/>
        <v>2.1..1</v>
      </c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</row>
    <row r="386" spans="1:61" ht="16.5" customHeight="1" outlineLevel="1">
      <c r="A386" s="207"/>
      <c r="B386" s="201"/>
      <c r="C386" s="249" t="s">
        <v>1653</v>
      </c>
      <c r="D386" s="250">
        <f>SUM(D376:D385)</f>
        <v>41405.705704683358</v>
      </c>
      <c r="E386" s="238">
        <f>COUNTIF(E376:E385,"D") + COUNTIF(E376:E385,"DS")</f>
        <v>7</v>
      </c>
      <c r="F386" s="254">
        <f>SUBTOTAL(9,F376:F385)</f>
        <v>244784.53</v>
      </c>
      <c r="G386" s="201"/>
      <c r="H386" s="240"/>
      <c r="I386" s="264"/>
      <c r="J386" s="254">
        <f t="shared" ref="J386:M386" si="314">SUBTOTAL(9,J377:J385)</f>
        <v>243471.19999999998</v>
      </c>
      <c r="K386" s="254">
        <f t="shared" si="314"/>
        <v>0</v>
      </c>
      <c r="L386" s="254">
        <f t="shared" si="314"/>
        <v>243553.65</v>
      </c>
      <c r="M386" s="254">
        <f t="shared" si="314"/>
        <v>243553.65</v>
      </c>
      <c r="N386" s="201"/>
      <c r="O386" s="236"/>
      <c r="P386" s="255">
        <v>10277.880000000001</v>
      </c>
      <c r="Q386" s="255">
        <v>0</v>
      </c>
      <c r="R386" s="255">
        <v>0</v>
      </c>
      <c r="S386" s="254">
        <f>SUBTOTAL(9,S377:S385)</f>
        <v>10277.880000000001</v>
      </c>
      <c r="T386" s="203"/>
      <c r="U386" s="201"/>
      <c r="V386" s="203">
        <v>10277.880000000001</v>
      </c>
      <c r="W386" s="203">
        <v>0</v>
      </c>
      <c r="X386" s="203">
        <v>0</v>
      </c>
      <c r="Y386" s="254">
        <f>SUBTOTAL(9,Y377:Y385)</f>
        <v>0</v>
      </c>
      <c r="Z386" s="243" t="s">
        <v>1138</v>
      </c>
      <c r="AA386" s="302"/>
      <c r="AB386" s="303"/>
      <c r="AC386" s="304"/>
      <c r="AD386" s="304"/>
      <c r="AE386" s="244">
        <f>COUNTIF(AE376:AE385,"V") + COUNTIF(AE376:AE385,"VV") + COUNTIF(AE376:AE385,"VVV")</f>
        <v>3</v>
      </c>
      <c r="AF386" s="305"/>
      <c r="AG386" s="220"/>
      <c r="AH386" s="220" t="str">
        <f t="shared" si="311"/>
        <v>1</v>
      </c>
      <c r="AI386" s="304"/>
      <c r="AJ386" s="221" t="str">
        <f t="shared" si="312"/>
        <v>1</v>
      </c>
      <c r="AK386" s="220" t="str">
        <f t="shared" si="313"/>
        <v>.1..1</v>
      </c>
      <c r="AL386" s="306"/>
      <c r="AM386" s="306"/>
      <c r="AN386" s="306"/>
      <c r="AO386" s="306"/>
      <c r="AP386" s="306"/>
      <c r="AQ386" s="306"/>
      <c r="AR386" s="306"/>
      <c r="AS386" s="306"/>
      <c r="AT386" s="306"/>
      <c r="AU386" s="306"/>
      <c r="AV386" s="306"/>
      <c r="AW386" s="306"/>
      <c r="AX386" s="306"/>
      <c r="AY386" s="306"/>
      <c r="AZ386" s="306"/>
      <c r="BA386" s="306"/>
      <c r="BB386" s="306"/>
      <c r="BC386" s="306"/>
      <c r="BD386" s="306"/>
      <c r="BE386" s="306"/>
      <c r="BF386" s="306"/>
      <c r="BG386" s="306"/>
      <c r="BH386" s="306"/>
      <c r="BI386" s="306"/>
    </row>
    <row r="387" spans="1:61" ht="16.5" customHeight="1" outlineLevel="2">
      <c r="A387" s="207">
        <f t="shared" ref="A387:A391" si="315">SUBTOTAL(3,$B$6:B387)</f>
        <v>360</v>
      </c>
      <c r="B387" s="207">
        <v>1</v>
      </c>
      <c r="C387" s="245" t="s">
        <v>1654</v>
      </c>
      <c r="D387" s="209">
        <v>5881.1427984674147</v>
      </c>
      <c r="E387" s="504" t="s">
        <v>91</v>
      </c>
      <c r="F387" s="213">
        <f t="shared" ref="F387:F391" si="316">IF(M387&gt;0,M387,IF(S387&gt;0,S387,IF(Y387&gt;0,Y387,0)))</f>
        <v>17973</v>
      </c>
      <c r="G387" s="207" t="s">
        <v>1076</v>
      </c>
      <c r="H387" s="223">
        <f t="shared" ref="H387:H391" si="317">VALUE(RIGHT(I387,4))</f>
        <v>2021</v>
      </c>
      <c r="I387" s="224" t="s">
        <v>149</v>
      </c>
      <c r="J387" s="246">
        <v>0</v>
      </c>
      <c r="K387" s="246">
        <v>0</v>
      </c>
      <c r="L387" s="246">
        <v>17973</v>
      </c>
      <c r="M387" s="213">
        <f t="shared" ref="M387:M391" si="318">IF(L387&gt;0,L387,IF(J387&gt;0,J387,0))</f>
        <v>17973</v>
      </c>
      <c r="N387" s="207"/>
      <c r="O387" s="231"/>
      <c r="P387" s="230"/>
      <c r="Q387" s="230"/>
      <c r="R387" s="230"/>
      <c r="S387" s="213">
        <f t="shared" ref="S387:S391" si="319">IF(R387&gt;0,R387,IF(P387&gt;0,P387,0))</f>
        <v>0</v>
      </c>
      <c r="T387" s="216"/>
      <c r="U387" s="227" t="s">
        <v>1655</v>
      </c>
      <c r="V387" s="216">
        <v>1326</v>
      </c>
      <c r="W387" s="216">
        <v>5267.6</v>
      </c>
      <c r="X387" s="216">
        <v>17973</v>
      </c>
      <c r="Y387" s="213">
        <f t="shared" ref="Y387:Y391" si="320">IF(X387&gt;0,X387,IF(V387&gt;0,V387,0))</f>
        <v>17973</v>
      </c>
      <c r="Z387" s="222">
        <v>2020</v>
      </c>
      <c r="AA387" s="614" t="s">
        <v>1656</v>
      </c>
      <c r="AB387" s="218"/>
      <c r="AC387" s="220"/>
      <c r="AD387" s="220" t="s">
        <v>1657</v>
      </c>
      <c r="AE387" s="220" t="str">
        <f t="shared" ref="AE387:AE391" si="321">CONCATENATE(G387,N387,T387)</f>
        <v>V</v>
      </c>
      <c r="AF387" s="615" t="s">
        <v>1658</v>
      </c>
      <c r="AG387" s="220" t="str">
        <f t="shared" ref="AG387:AG391" si="322">IF(H387=0,"3",IF(H387&lt;=2018,"2","1"))</f>
        <v>1</v>
      </c>
      <c r="AH387" s="220" t="str">
        <f t="shared" si="311"/>
        <v>1</v>
      </c>
      <c r="AI387" s="220"/>
      <c r="AJ387" s="221" t="str">
        <f t="shared" si="312"/>
        <v>1</v>
      </c>
      <c r="AK387" s="220" t="str">
        <f t="shared" si="313"/>
        <v>1.1..1</v>
      </c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1:61" ht="16.5" customHeight="1" outlineLevel="2">
      <c r="A388" s="207">
        <f t="shared" si="315"/>
        <v>361</v>
      </c>
      <c r="B388" s="207">
        <v>2</v>
      </c>
      <c r="C388" s="245" t="s">
        <v>1659</v>
      </c>
      <c r="D388" s="209">
        <v>9.5529406908459986</v>
      </c>
      <c r="E388" s="504" t="s">
        <v>123</v>
      </c>
      <c r="F388" s="213">
        <f t="shared" si="316"/>
        <v>0</v>
      </c>
      <c r="G388" s="207"/>
      <c r="H388" s="223">
        <f t="shared" si="317"/>
        <v>2021</v>
      </c>
      <c r="I388" s="224" t="s">
        <v>265</v>
      </c>
      <c r="J388" s="246"/>
      <c r="K388" s="246"/>
      <c r="L388" s="246"/>
      <c r="M388" s="213">
        <f t="shared" si="318"/>
        <v>0</v>
      </c>
      <c r="N388" s="207"/>
      <c r="O388" s="231"/>
      <c r="P388" s="230"/>
      <c r="Q388" s="230"/>
      <c r="R388" s="230"/>
      <c r="S388" s="213">
        <f t="shared" si="319"/>
        <v>0</v>
      </c>
      <c r="T388" s="216"/>
      <c r="U388" s="207"/>
      <c r="V388" s="216"/>
      <c r="W388" s="216"/>
      <c r="X388" s="216"/>
      <c r="Y388" s="213">
        <f t="shared" si="320"/>
        <v>0</v>
      </c>
      <c r="Z388" s="222" t="s">
        <v>1097</v>
      </c>
      <c r="AA388" s="570"/>
      <c r="AB388" s="218"/>
      <c r="AC388" s="220"/>
      <c r="AD388" s="220"/>
      <c r="AE388" s="220" t="str">
        <f t="shared" si="321"/>
        <v/>
      </c>
      <c r="AF388" s="574"/>
      <c r="AG388" s="220" t="str">
        <f t="shared" si="322"/>
        <v>1</v>
      </c>
      <c r="AH388" s="220" t="str">
        <f t="shared" si="311"/>
        <v>2</v>
      </c>
      <c r="AI388" s="220"/>
      <c r="AJ388" s="221" t="str">
        <f t="shared" si="312"/>
        <v>2</v>
      </c>
      <c r="AK388" s="220" t="str">
        <f t="shared" si="313"/>
        <v>1.2..2</v>
      </c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1:61" ht="16.5" customHeight="1" outlineLevel="2">
      <c r="A389" s="207">
        <f t="shared" si="315"/>
        <v>362</v>
      </c>
      <c r="B389" s="207">
        <v>3</v>
      </c>
      <c r="C389" s="245" t="s">
        <v>1660</v>
      </c>
      <c r="D389" s="209">
        <v>1706.4701564293459</v>
      </c>
      <c r="E389" s="504" t="s">
        <v>104</v>
      </c>
      <c r="F389" s="213">
        <f t="shared" si="316"/>
        <v>3916</v>
      </c>
      <c r="G389" s="207"/>
      <c r="H389" s="281">
        <f t="shared" si="317"/>
        <v>2012</v>
      </c>
      <c r="I389" s="212" t="s">
        <v>323</v>
      </c>
      <c r="J389" s="213">
        <v>3916</v>
      </c>
      <c r="K389" s="213">
        <v>0</v>
      </c>
      <c r="L389" s="213">
        <v>3916</v>
      </c>
      <c r="M389" s="213">
        <f t="shared" si="318"/>
        <v>3916</v>
      </c>
      <c r="N389" s="207"/>
      <c r="O389" s="253" t="s">
        <v>1661</v>
      </c>
      <c r="P389" s="230">
        <v>3916</v>
      </c>
      <c r="Q389" s="230">
        <v>0</v>
      </c>
      <c r="R389" s="230">
        <v>3916</v>
      </c>
      <c r="S389" s="213">
        <f t="shared" si="319"/>
        <v>3916</v>
      </c>
      <c r="T389" s="216"/>
      <c r="U389" s="221" t="s">
        <v>1662</v>
      </c>
      <c r="V389" s="216"/>
      <c r="W389" s="216"/>
      <c r="X389" s="216"/>
      <c r="Y389" s="213">
        <f t="shared" si="320"/>
        <v>0</v>
      </c>
      <c r="Z389" s="222" t="s">
        <v>1097</v>
      </c>
      <c r="AA389" s="570"/>
      <c r="AB389" s="218"/>
      <c r="AC389" s="220"/>
      <c r="AD389" s="220" t="s">
        <v>1663</v>
      </c>
      <c r="AE389" s="220" t="str">
        <f t="shared" si="321"/>
        <v/>
      </c>
      <c r="AF389" s="574"/>
      <c r="AG389" s="220" t="str">
        <f t="shared" si="322"/>
        <v>2</v>
      </c>
      <c r="AH389" s="220" t="str">
        <f t="shared" si="311"/>
        <v>1</v>
      </c>
      <c r="AI389" s="220"/>
      <c r="AJ389" s="221" t="str">
        <f t="shared" si="312"/>
        <v>1</v>
      </c>
      <c r="AK389" s="220" t="str">
        <f t="shared" si="313"/>
        <v>2.1..1</v>
      </c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1:61" ht="16.5" customHeight="1" outlineLevel="2">
      <c r="A390" s="207">
        <f t="shared" si="315"/>
        <v>363</v>
      </c>
      <c r="B390" s="207">
        <v>4</v>
      </c>
      <c r="C390" s="245" t="s">
        <v>1664</v>
      </c>
      <c r="D390" s="209">
        <v>4145.1335801315172</v>
      </c>
      <c r="E390" s="504" t="s">
        <v>104</v>
      </c>
      <c r="F390" s="213">
        <f t="shared" si="316"/>
        <v>125982</v>
      </c>
      <c r="G390" s="207"/>
      <c r="H390" s="281">
        <f t="shared" si="317"/>
        <v>2013</v>
      </c>
      <c r="I390" s="212" t="s">
        <v>1665</v>
      </c>
      <c r="J390" s="213">
        <v>125982</v>
      </c>
      <c r="K390" s="213">
        <v>0</v>
      </c>
      <c r="L390" s="213">
        <v>125982</v>
      </c>
      <c r="M390" s="213">
        <f t="shared" si="318"/>
        <v>125982</v>
      </c>
      <c r="N390" s="207"/>
      <c r="O390" s="231"/>
      <c r="P390" s="230"/>
      <c r="Q390" s="230"/>
      <c r="R390" s="230"/>
      <c r="S390" s="213">
        <f t="shared" si="319"/>
        <v>0</v>
      </c>
      <c r="T390" s="216"/>
      <c r="U390" s="207"/>
      <c r="V390" s="216"/>
      <c r="W390" s="216"/>
      <c r="X390" s="216"/>
      <c r="Y390" s="213">
        <f t="shared" si="320"/>
        <v>0</v>
      </c>
      <c r="Z390" s="222" t="s">
        <v>1097</v>
      </c>
      <c r="AA390" s="570"/>
      <c r="AB390" s="218"/>
      <c r="AC390" s="220"/>
      <c r="AD390" s="220"/>
      <c r="AE390" s="220" t="str">
        <f t="shared" si="321"/>
        <v/>
      </c>
      <c r="AF390" s="574"/>
      <c r="AG390" s="220" t="str">
        <f t="shared" si="322"/>
        <v>2</v>
      </c>
      <c r="AH390" s="220" t="str">
        <f t="shared" si="311"/>
        <v>1</v>
      </c>
      <c r="AI390" s="220"/>
      <c r="AJ390" s="221" t="str">
        <f t="shared" si="312"/>
        <v>2</v>
      </c>
      <c r="AK390" s="220" t="str">
        <f t="shared" si="313"/>
        <v>2.1..2</v>
      </c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1:61" ht="16.5" customHeight="1" outlineLevel="2">
      <c r="A391" s="207">
        <f t="shared" si="315"/>
        <v>364</v>
      </c>
      <c r="B391" s="207">
        <v>5</v>
      </c>
      <c r="C391" s="245" t="s">
        <v>1666</v>
      </c>
      <c r="D391" s="209">
        <v>179.62974056051999</v>
      </c>
      <c r="E391" s="504" t="s">
        <v>104</v>
      </c>
      <c r="F391" s="213">
        <f t="shared" si="316"/>
        <v>6400</v>
      </c>
      <c r="G391" s="207"/>
      <c r="H391" s="281">
        <f t="shared" si="317"/>
        <v>2012</v>
      </c>
      <c r="I391" s="212" t="s">
        <v>1497</v>
      </c>
      <c r="J391" s="213">
        <v>6400</v>
      </c>
      <c r="K391" s="213">
        <v>0</v>
      </c>
      <c r="L391" s="213">
        <v>6400</v>
      </c>
      <c r="M391" s="213">
        <f t="shared" si="318"/>
        <v>6400</v>
      </c>
      <c r="N391" s="207"/>
      <c r="O391" s="231"/>
      <c r="P391" s="230"/>
      <c r="Q391" s="230"/>
      <c r="R391" s="230"/>
      <c r="S391" s="213">
        <f t="shared" si="319"/>
        <v>0</v>
      </c>
      <c r="T391" s="216"/>
      <c r="U391" s="207"/>
      <c r="V391" s="216"/>
      <c r="W391" s="216"/>
      <c r="X391" s="216"/>
      <c r="Y391" s="213">
        <f t="shared" si="320"/>
        <v>0</v>
      </c>
      <c r="Z391" s="222" t="s">
        <v>1097</v>
      </c>
      <c r="AA391" s="561"/>
      <c r="AB391" s="218"/>
      <c r="AC391" s="220"/>
      <c r="AD391" s="220"/>
      <c r="AE391" s="220" t="str">
        <f t="shared" si="321"/>
        <v/>
      </c>
      <c r="AF391" s="574"/>
      <c r="AG391" s="220" t="str">
        <f t="shared" si="322"/>
        <v>2</v>
      </c>
      <c r="AH391" s="220" t="str">
        <f t="shared" si="311"/>
        <v>1</v>
      </c>
      <c r="AI391" s="220"/>
      <c r="AJ391" s="221" t="str">
        <f t="shared" si="312"/>
        <v>2</v>
      </c>
      <c r="AK391" s="220" t="str">
        <f t="shared" si="313"/>
        <v>2.1..2</v>
      </c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1:61" ht="16.5" customHeight="1" outlineLevel="1">
      <c r="A392" s="207"/>
      <c r="B392" s="235"/>
      <c r="C392" s="249" t="s">
        <v>1667</v>
      </c>
      <c r="D392" s="250">
        <f>SUM(D387:D391)</f>
        <v>11921.929216279643</v>
      </c>
      <c r="E392" s="238">
        <f>COUNTIF(E387:E391,"D") + COUNTIF(E387:E391,"DS")</f>
        <v>4</v>
      </c>
      <c r="F392" s="254">
        <f>SUBTOTAL(9,F387:F391)</f>
        <v>154271</v>
      </c>
      <c r="G392" s="201"/>
      <c r="H392" s="240"/>
      <c r="I392" s="264"/>
      <c r="J392" s="254">
        <f t="shared" ref="J392:M392" si="323">SUBTOTAL(9,J387:J391)</f>
        <v>136298</v>
      </c>
      <c r="K392" s="254">
        <f t="shared" si="323"/>
        <v>0</v>
      </c>
      <c r="L392" s="254">
        <f t="shared" si="323"/>
        <v>154271</v>
      </c>
      <c r="M392" s="254">
        <f t="shared" si="323"/>
        <v>154271</v>
      </c>
      <c r="N392" s="201"/>
      <c r="O392" s="236"/>
      <c r="P392" s="255">
        <v>3916</v>
      </c>
      <c r="Q392" s="255">
        <v>0</v>
      </c>
      <c r="R392" s="255">
        <v>3916</v>
      </c>
      <c r="S392" s="254">
        <f>SUBTOTAL(9,S387:S391)</f>
        <v>3916</v>
      </c>
      <c r="T392" s="203"/>
      <c r="U392" s="201">
        <v>2</v>
      </c>
      <c r="V392" s="203">
        <v>3916</v>
      </c>
      <c r="W392" s="203">
        <v>0</v>
      </c>
      <c r="X392" s="203">
        <v>3916</v>
      </c>
      <c r="Y392" s="254">
        <f>SUBTOTAL(9,Y387:Y391)</f>
        <v>17973</v>
      </c>
      <c r="Z392" s="243" t="s">
        <v>1138</v>
      </c>
      <c r="AA392" s="228"/>
      <c r="AB392" s="218"/>
      <c r="AC392" s="220"/>
      <c r="AD392" s="220"/>
      <c r="AE392" s="244">
        <f>COUNTIF(AE387:AE391,"V") + COUNTIF(AE387:AE391,"VV") + COUNTIF(AE387:AE391,"VVV")</f>
        <v>1</v>
      </c>
      <c r="AF392" s="229"/>
      <c r="AG392" s="220"/>
      <c r="AH392" s="220"/>
      <c r="AI392" s="220"/>
      <c r="AJ392" s="221"/>
      <c r="AK392" s="220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1:61" ht="16.5" customHeight="1" outlineLevel="1">
      <c r="A393" s="207">
        <f t="shared" ref="A393:A406" si="324">SUBTOTAL(3,$B$6:B393)</f>
        <v>365</v>
      </c>
      <c r="B393" s="207">
        <v>1</v>
      </c>
      <c r="C393" s="208" t="s">
        <v>1668</v>
      </c>
      <c r="D393" s="247">
        <v>19659.830852926905</v>
      </c>
      <c r="E393" s="504" t="s">
        <v>661</v>
      </c>
      <c r="F393" s="213">
        <f t="shared" ref="F393:F394" si="325">IF(M393&gt;0,M393,IF(S393&gt;0,S393,IF(Y393&gt;0,Y393,0)))</f>
        <v>0</v>
      </c>
      <c r="G393" s="256"/>
      <c r="H393" s="307" t="e">
        <f t="shared" ref="H393:H406" si="326">VALUE(RIGHT(I393,4))</f>
        <v>#VALUE!</v>
      </c>
      <c r="I393" s="308"/>
      <c r="J393" s="257"/>
      <c r="K393" s="257"/>
      <c r="L393" s="257"/>
      <c r="M393" s="213">
        <f t="shared" ref="M393:M406" si="327">IF(L393&gt;0,L393,IF(J393&gt;0,J393,0))</f>
        <v>0</v>
      </c>
      <c r="N393" s="256"/>
      <c r="O393" s="258"/>
      <c r="P393" s="259"/>
      <c r="Q393" s="259"/>
      <c r="R393" s="259"/>
      <c r="S393" s="213">
        <f t="shared" ref="S393:S406" si="328">IF(R393&gt;0,R393,IF(P393&gt;0,P393,0))</f>
        <v>0</v>
      </c>
      <c r="T393" s="260"/>
      <c r="U393" s="256"/>
      <c r="V393" s="260"/>
      <c r="W393" s="260"/>
      <c r="X393" s="260"/>
      <c r="Y393" s="213">
        <f t="shared" ref="Y393:Y406" si="329">IF(X393&gt;0,X393,IF(V393&gt;0,V393,0))</f>
        <v>0</v>
      </c>
      <c r="Z393" s="222" t="s">
        <v>1669</v>
      </c>
      <c r="AA393" s="228"/>
      <c r="AB393" s="218"/>
      <c r="AC393" s="220"/>
      <c r="AD393" s="220"/>
      <c r="AE393" s="220" t="str">
        <f t="shared" ref="AE393:AE406" si="330">CONCATENATE(G393,N393,T393)</f>
        <v/>
      </c>
      <c r="AF393" s="229"/>
      <c r="AG393" s="220" t="e">
        <f t="shared" ref="AG393:AG406" si="331">IF(H393=0,"3",IF(H393&lt;=2018,"2","1"))</f>
        <v>#VALUE!</v>
      </c>
      <c r="AH393" s="220" t="str">
        <f t="shared" ref="AH393:AH406" si="332">IF(M393&gt;0,"1","2")</f>
        <v>2</v>
      </c>
      <c r="AI393" s="220"/>
      <c r="AJ393" s="221" t="str">
        <f t="shared" ref="AJ393:AJ406" si="333">IF(S393&gt;0,"1",IF(Y393&gt;0,"1","2"))</f>
        <v>2</v>
      </c>
      <c r="AK393" s="220" t="e">
        <f t="shared" ref="AK393:AK406" si="334">CONCATENATE(AG393,".",AH393,".",AI393,".",AJ393)</f>
        <v>#VALUE!</v>
      </c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1:61" ht="16.5" customHeight="1" outlineLevel="1">
      <c r="A394" s="207">
        <f t="shared" si="324"/>
        <v>366</v>
      </c>
      <c r="B394" s="207">
        <v>2</v>
      </c>
      <c r="C394" s="208" t="s">
        <v>1670</v>
      </c>
      <c r="D394" s="247">
        <v>1555.158245824789</v>
      </c>
      <c r="E394" s="504" t="s">
        <v>661</v>
      </c>
      <c r="F394" s="213">
        <f t="shared" si="325"/>
        <v>0</v>
      </c>
      <c r="G394" s="256"/>
      <c r="H394" s="307" t="e">
        <f t="shared" si="326"/>
        <v>#VALUE!</v>
      </c>
      <c r="I394" s="308"/>
      <c r="J394" s="257"/>
      <c r="K394" s="257"/>
      <c r="L394" s="257"/>
      <c r="M394" s="213">
        <f t="shared" si="327"/>
        <v>0</v>
      </c>
      <c r="N394" s="256"/>
      <c r="O394" s="258"/>
      <c r="P394" s="259"/>
      <c r="Q394" s="259"/>
      <c r="R394" s="259"/>
      <c r="S394" s="213">
        <f t="shared" si="328"/>
        <v>0</v>
      </c>
      <c r="T394" s="260"/>
      <c r="U394" s="256"/>
      <c r="V394" s="260"/>
      <c r="W394" s="260"/>
      <c r="X394" s="260"/>
      <c r="Y394" s="213">
        <f t="shared" si="329"/>
        <v>0</v>
      </c>
      <c r="Z394" s="222" t="s">
        <v>1669</v>
      </c>
      <c r="AA394" s="228"/>
      <c r="AB394" s="218"/>
      <c r="AC394" s="220"/>
      <c r="AD394" s="220"/>
      <c r="AE394" s="220" t="str">
        <f t="shared" si="330"/>
        <v/>
      </c>
      <c r="AF394" s="229"/>
      <c r="AG394" s="220" t="e">
        <f t="shared" si="331"/>
        <v>#VALUE!</v>
      </c>
      <c r="AH394" s="220" t="str">
        <f t="shared" si="332"/>
        <v>2</v>
      </c>
      <c r="AI394" s="220"/>
      <c r="AJ394" s="221" t="str">
        <f t="shared" si="333"/>
        <v>2</v>
      </c>
      <c r="AK394" s="220" t="e">
        <f t="shared" si="334"/>
        <v>#VALUE!</v>
      </c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1:61" ht="16.5" customHeight="1" outlineLevel="2">
      <c r="A395" s="207">
        <f t="shared" si="324"/>
        <v>367</v>
      </c>
      <c r="B395" s="207">
        <v>3</v>
      </c>
      <c r="C395" s="208" t="s">
        <v>1671</v>
      </c>
      <c r="D395" s="247">
        <v>1083.6957029573994</v>
      </c>
      <c r="E395" s="504" t="s">
        <v>91</v>
      </c>
      <c r="F395" s="213">
        <f>Y395</f>
        <v>1206.7</v>
      </c>
      <c r="G395" s="207"/>
      <c r="H395" s="281">
        <f t="shared" si="326"/>
        <v>2013</v>
      </c>
      <c r="I395" s="212" t="s">
        <v>1672</v>
      </c>
      <c r="J395" s="213">
        <v>556</v>
      </c>
      <c r="K395" s="213">
        <v>0</v>
      </c>
      <c r="L395" s="213">
        <v>556</v>
      </c>
      <c r="M395" s="213">
        <f t="shared" si="327"/>
        <v>556</v>
      </c>
      <c r="N395" s="207"/>
      <c r="O395" s="505" t="s">
        <v>1673</v>
      </c>
      <c r="P395" s="230"/>
      <c r="Q395" s="230"/>
      <c r="R395" s="230"/>
      <c r="S395" s="213">
        <f t="shared" si="328"/>
        <v>0</v>
      </c>
      <c r="T395" s="216" t="s">
        <v>1076</v>
      </c>
      <c r="U395" s="227" t="s">
        <v>738</v>
      </c>
      <c r="V395" s="216">
        <v>1202.8900000000001</v>
      </c>
      <c r="W395" s="216">
        <v>3.81</v>
      </c>
      <c r="X395" s="216">
        <v>1206.7</v>
      </c>
      <c r="Y395" s="213">
        <f t="shared" si="329"/>
        <v>1206.7</v>
      </c>
      <c r="Z395" s="222">
        <v>2022</v>
      </c>
      <c r="AA395" s="228"/>
      <c r="AB395" s="218"/>
      <c r="AC395" s="220"/>
      <c r="AD395" s="220"/>
      <c r="AE395" s="220" t="str">
        <f t="shared" si="330"/>
        <v>V</v>
      </c>
      <c r="AF395" s="229"/>
      <c r="AG395" s="220" t="str">
        <f t="shared" si="331"/>
        <v>2</v>
      </c>
      <c r="AH395" s="220" t="str">
        <f t="shared" si="332"/>
        <v>1</v>
      </c>
      <c r="AI395" s="220"/>
      <c r="AJ395" s="221" t="str">
        <f t="shared" si="333"/>
        <v>1</v>
      </c>
      <c r="AK395" s="220" t="str">
        <f t="shared" si="334"/>
        <v>2.1..1</v>
      </c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1:61" ht="16.5" customHeight="1" outlineLevel="2">
      <c r="A396" s="207">
        <f t="shared" si="324"/>
        <v>368</v>
      </c>
      <c r="B396" s="207">
        <v>4</v>
      </c>
      <c r="C396" s="208" t="s">
        <v>1674</v>
      </c>
      <c r="D396" s="247">
        <v>3829.8114363590885</v>
      </c>
      <c r="E396" s="504" t="s">
        <v>104</v>
      </c>
      <c r="F396" s="213">
        <f t="shared" ref="F396:F403" si="335">IF(M396&gt;0,M396,IF(S396&gt;0,S396,IF(Y396&gt;0,Y396,0)))</f>
        <v>13724</v>
      </c>
      <c r="G396" s="207"/>
      <c r="H396" s="281">
        <f t="shared" si="326"/>
        <v>2013</v>
      </c>
      <c r="I396" s="212" t="s">
        <v>875</v>
      </c>
      <c r="J396" s="213">
        <v>13724</v>
      </c>
      <c r="K396" s="213">
        <v>0</v>
      </c>
      <c r="L396" s="213">
        <v>13724</v>
      </c>
      <c r="M396" s="213">
        <f t="shared" si="327"/>
        <v>13724</v>
      </c>
      <c r="N396" s="207"/>
      <c r="O396" s="231"/>
      <c r="P396" s="230"/>
      <c r="Q396" s="230"/>
      <c r="R396" s="230"/>
      <c r="S396" s="213">
        <f t="shared" si="328"/>
        <v>0</v>
      </c>
      <c r="T396" s="216"/>
      <c r="U396" s="207"/>
      <c r="V396" s="216"/>
      <c r="W396" s="216"/>
      <c r="X396" s="216"/>
      <c r="Y396" s="213">
        <f t="shared" si="329"/>
        <v>0</v>
      </c>
      <c r="Z396" s="222">
        <v>2022</v>
      </c>
      <c r="AA396" s="228"/>
      <c r="AB396" s="218"/>
      <c r="AC396" s="220"/>
      <c r="AD396" s="220"/>
      <c r="AE396" s="220" t="str">
        <f t="shared" si="330"/>
        <v/>
      </c>
      <c r="AF396" s="229"/>
      <c r="AG396" s="220" t="str">
        <f t="shared" si="331"/>
        <v>2</v>
      </c>
      <c r="AH396" s="220" t="str">
        <f t="shared" si="332"/>
        <v>1</v>
      </c>
      <c r="AI396" s="220"/>
      <c r="AJ396" s="221" t="str">
        <f t="shared" si="333"/>
        <v>2</v>
      </c>
      <c r="AK396" s="220" t="str">
        <f t="shared" si="334"/>
        <v>2.1..2</v>
      </c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1:61" ht="16.5" customHeight="1" outlineLevel="2">
      <c r="A397" s="207">
        <f t="shared" si="324"/>
        <v>369</v>
      </c>
      <c r="B397" s="207">
        <v>5</v>
      </c>
      <c r="C397" s="208" t="s">
        <v>1675</v>
      </c>
      <c r="D397" s="247">
        <v>18.044060688986001</v>
      </c>
      <c r="E397" s="504" t="s">
        <v>661</v>
      </c>
      <c r="F397" s="213">
        <f t="shared" si="335"/>
        <v>0</v>
      </c>
      <c r="G397" s="207"/>
      <c r="H397" s="281" t="e">
        <f t="shared" si="326"/>
        <v>#VALUE!</v>
      </c>
      <c r="I397" s="212"/>
      <c r="J397" s="213"/>
      <c r="K397" s="213"/>
      <c r="L397" s="213"/>
      <c r="M397" s="213">
        <f t="shared" si="327"/>
        <v>0</v>
      </c>
      <c r="N397" s="207"/>
      <c r="O397" s="231"/>
      <c r="P397" s="230"/>
      <c r="Q397" s="230"/>
      <c r="R397" s="230"/>
      <c r="S397" s="213">
        <f t="shared" si="328"/>
        <v>0</v>
      </c>
      <c r="T397" s="216"/>
      <c r="U397" s="207"/>
      <c r="V397" s="216"/>
      <c r="W397" s="216"/>
      <c r="X397" s="216"/>
      <c r="Y397" s="213">
        <f t="shared" si="329"/>
        <v>0</v>
      </c>
      <c r="Z397" s="222" t="s">
        <v>1097</v>
      </c>
      <c r="AA397" s="228"/>
      <c r="AB397" s="218"/>
      <c r="AC397" s="220"/>
      <c r="AD397" s="220"/>
      <c r="AE397" s="220" t="str">
        <f t="shared" si="330"/>
        <v/>
      </c>
      <c r="AF397" s="229"/>
      <c r="AG397" s="220" t="e">
        <f t="shared" si="331"/>
        <v>#VALUE!</v>
      </c>
      <c r="AH397" s="220" t="str">
        <f t="shared" si="332"/>
        <v>2</v>
      </c>
      <c r="AI397" s="220"/>
      <c r="AJ397" s="221" t="str">
        <f t="shared" si="333"/>
        <v>2</v>
      </c>
      <c r="AK397" s="220" t="e">
        <f t="shared" si="334"/>
        <v>#VALUE!</v>
      </c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1:61" ht="16.5" customHeight="1" outlineLevel="2">
      <c r="A398" s="207">
        <f t="shared" si="324"/>
        <v>370</v>
      </c>
      <c r="B398" s="207">
        <v>6</v>
      </c>
      <c r="C398" s="208" t="s">
        <v>1676</v>
      </c>
      <c r="D398" s="247">
        <v>249.08767930159982</v>
      </c>
      <c r="E398" s="504" t="s">
        <v>104</v>
      </c>
      <c r="F398" s="213">
        <f t="shared" si="335"/>
        <v>22093</v>
      </c>
      <c r="G398" s="207"/>
      <c r="H398" s="281">
        <f t="shared" si="326"/>
        <v>2014</v>
      </c>
      <c r="I398" s="212" t="s">
        <v>321</v>
      </c>
      <c r="J398" s="213">
        <v>22093</v>
      </c>
      <c r="K398" s="213">
        <v>0</v>
      </c>
      <c r="L398" s="213">
        <v>22093</v>
      </c>
      <c r="M398" s="213">
        <f t="shared" si="327"/>
        <v>22093</v>
      </c>
      <c r="N398" s="207"/>
      <c r="O398" s="231"/>
      <c r="P398" s="230"/>
      <c r="Q398" s="230"/>
      <c r="R398" s="230"/>
      <c r="S398" s="213">
        <f t="shared" si="328"/>
        <v>0</v>
      </c>
      <c r="T398" s="216"/>
      <c r="U398" s="207"/>
      <c r="V398" s="216"/>
      <c r="W398" s="216"/>
      <c r="X398" s="216"/>
      <c r="Y398" s="213">
        <f t="shared" si="329"/>
        <v>0</v>
      </c>
      <c r="Z398" s="222" t="s">
        <v>1097</v>
      </c>
      <c r="AA398" s="228"/>
      <c r="AB398" s="218"/>
      <c r="AC398" s="220"/>
      <c r="AD398" s="220"/>
      <c r="AE398" s="220" t="str">
        <f t="shared" si="330"/>
        <v/>
      </c>
      <c r="AF398" s="229"/>
      <c r="AG398" s="220" t="str">
        <f t="shared" si="331"/>
        <v>2</v>
      </c>
      <c r="AH398" s="220" t="str">
        <f t="shared" si="332"/>
        <v>1</v>
      </c>
      <c r="AI398" s="220"/>
      <c r="AJ398" s="221" t="str">
        <f t="shared" si="333"/>
        <v>2</v>
      </c>
      <c r="AK398" s="220" t="str">
        <f t="shared" si="334"/>
        <v>2.1..2</v>
      </c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1:61" ht="16.5" customHeight="1" outlineLevel="2">
      <c r="A399" s="207">
        <f t="shared" si="324"/>
        <v>371</v>
      </c>
      <c r="B399" s="207">
        <v>7</v>
      </c>
      <c r="C399" s="208" t="s">
        <v>1677</v>
      </c>
      <c r="D399" s="247">
        <v>79.044381817767984</v>
      </c>
      <c r="E399" s="504" t="s">
        <v>104</v>
      </c>
      <c r="F399" s="213">
        <f t="shared" si="335"/>
        <v>180</v>
      </c>
      <c r="G399" s="207"/>
      <c r="H399" s="281">
        <f t="shared" si="326"/>
        <v>2013</v>
      </c>
      <c r="I399" s="212" t="s">
        <v>748</v>
      </c>
      <c r="J399" s="213">
        <v>180</v>
      </c>
      <c r="K399" s="213">
        <v>0</v>
      </c>
      <c r="L399" s="213">
        <v>180</v>
      </c>
      <c r="M399" s="213">
        <f t="shared" si="327"/>
        <v>180</v>
      </c>
      <c r="N399" s="207"/>
      <c r="O399" s="231"/>
      <c r="P399" s="230"/>
      <c r="Q399" s="230"/>
      <c r="R399" s="230"/>
      <c r="S399" s="213">
        <f t="shared" si="328"/>
        <v>0</v>
      </c>
      <c r="T399" s="216"/>
      <c r="U399" s="207"/>
      <c r="V399" s="216"/>
      <c r="W399" s="216"/>
      <c r="X399" s="216"/>
      <c r="Y399" s="213">
        <f t="shared" si="329"/>
        <v>0</v>
      </c>
      <c r="Z399" s="222" t="s">
        <v>1097</v>
      </c>
      <c r="AA399" s="228"/>
      <c r="AB399" s="218"/>
      <c r="AC399" s="220"/>
      <c r="AD399" s="220"/>
      <c r="AE399" s="220" t="str">
        <f t="shared" si="330"/>
        <v/>
      </c>
      <c r="AF399" s="229"/>
      <c r="AG399" s="220" t="str">
        <f t="shared" si="331"/>
        <v>2</v>
      </c>
      <c r="AH399" s="220" t="str">
        <f t="shared" si="332"/>
        <v>1</v>
      </c>
      <c r="AI399" s="220"/>
      <c r="AJ399" s="221" t="str">
        <f t="shared" si="333"/>
        <v>2</v>
      </c>
      <c r="AK399" s="220" t="str">
        <f t="shared" si="334"/>
        <v>2.1..2</v>
      </c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1:61" ht="16.5" customHeight="1" outlineLevel="2">
      <c r="A400" s="207">
        <f t="shared" si="324"/>
        <v>372</v>
      </c>
      <c r="B400" s="207">
        <v>8</v>
      </c>
      <c r="C400" s="208" t="s">
        <v>1678</v>
      </c>
      <c r="D400" s="247">
        <v>2135.7595373827148</v>
      </c>
      <c r="E400" s="504" t="s">
        <v>104</v>
      </c>
      <c r="F400" s="213">
        <f t="shared" si="335"/>
        <v>1271.1400000000001</v>
      </c>
      <c r="G400" s="207"/>
      <c r="H400" s="281">
        <f t="shared" si="326"/>
        <v>2014</v>
      </c>
      <c r="I400" s="212" t="s">
        <v>444</v>
      </c>
      <c r="J400" s="213">
        <v>1271.1400000000001</v>
      </c>
      <c r="K400" s="213">
        <v>0</v>
      </c>
      <c r="L400" s="213">
        <v>1271.1400000000001</v>
      </c>
      <c r="M400" s="213">
        <f t="shared" si="327"/>
        <v>1271.1400000000001</v>
      </c>
      <c r="N400" s="207"/>
      <c r="O400" s="231"/>
      <c r="P400" s="230"/>
      <c r="Q400" s="230"/>
      <c r="R400" s="230"/>
      <c r="S400" s="213">
        <f t="shared" si="328"/>
        <v>0</v>
      </c>
      <c r="T400" s="216"/>
      <c r="U400" s="207"/>
      <c r="V400" s="216"/>
      <c r="W400" s="216"/>
      <c r="X400" s="216"/>
      <c r="Y400" s="213">
        <f t="shared" si="329"/>
        <v>0</v>
      </c>
      <c r="Z400" s="222" t="s">
        <v>1097</v>
      </c>
      <c r="AA400" s="228"/>
      <c r="AB400" s="218"/>
      <c r="AC400" s="220"/>
      <c r="AD400" s="220"/>
      <c r="AE400" s="220" t="str">
        <f t="shared" si="330"/>
        <v/>
      </c>
      <c r="AF400" s="229"/>
      <c r="AG400" s="220" t="str">
        <f t="shared" si="331"/>
        <v>2</v>
      </c>
      <c r="AH400" s="220" t="str">
        <f t="shared" si="332"/>
        <v>1</v>
      </c>
      <c r="AI400" s="220"/>
      <c r="AJ400" s="221" t="str">
        <f t="shared" si="333"/>
        <v>2</v>
      </c>
      <c r="AK400" s="220" t="str">
        <f t="shared" si="334"/>
        <v>2.1..2</v>
      </c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1:61" ht="16.5" customHeight="1" outlineLevel="2">
      <c r="A401" s="207">
        <f t="shared" si="324"/>
        <v>373</v>
      </c>
      <c r="B401" s="207">
        <v>9</v>
      </c>
      <c r="C401" s="208" t="s">
        <v>1679</v>
      </c>
      <c r="D401" s="247">
        <v>54.025234779304995</v>
      </c>
      <c r="E401" s="504" t="s">
        <v>661</v>
      </c>
      <c r="F401" s="213">
        <f t="shared" si="335"/>
        <v>0</v>
      </c>
      <c r="G401" s="207"/>
      <c r="H401" s="281" t="e">
        <f t="shared" si="326"/>
        <v>#VALUE!</v>
      </c>
      <c r="I401" s="212"/>
      <c r="J401" s="213"/>
      <c r="K401" s="213"/>
      <c r="L401" s="213"/>
      <c r="M401" s="213">
        <f t="shared" si="327"/>
        <v>0</v>
      </c>
      <c r="N401" s="207"/>
      <c r="O401" s="231"/>
      <c r="P401" s="230"/>
      <c r="Q401" s="230"/>
      <c r="R401" s="230"/>
      <c r="S401" s="213">
        <f t="shared" si="328"/>
        <v>0</v>
      </c>
      <c r="T401" s="216"/>
      <c r="U401" s="207"/>
      <c r="V401" s="216"/>
      <c r="W401" s="216"/>
      <c r="X401" s="216"/>
      <c r="Y401" s="213">
        <f t="shared" si="329"/>
        <v>0</v>
      </c>
      <c r="Z401" s="222" t="s">
        <v>1097</v>
      </c>
      <c r="AA401" s="228"/>
      <c r="AB401" s="218"/>
      <c r="AC401" s="220"/>
      <c r="AD401" s="220"/>
      <c r="AE401" s="220" t="str">
        <f t="shared" si="330"/>
        <v/>
      </c>
      <c r="AF401" s="229"/>
      <c r="AG401" s="220" t="e">
        <f t="shared" si="331"/>
        <v>#VALUE!</v>
      </c>
      <c r="AH401" s="220" t="str">
        <f t="shared" si="332"/>
        <v>2</v>
      </c>
      <c r="AI401" s="220"/>
      <c r="AJ401" s="221" t="str">
        <f t="shared" si="333"/>
        <v>2</v>
      </c>
      <c r="AK401" s="220" t="e">
        <f t="shared" si="334"/>
        <v>#VALUE!</v>
      </c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1:61" ht="16.5" customHeight="1" outlineLevel="2">
      <c r="A402" s="207">
        <f t="shared" si="324"/>
        <v>374</v>
      </c>
      <c r="B402" s="207">
        <v>10</v>
      </c>
      <c r="C402" s="208" t="s">
        <v>1680</v>
      </c>
      <c r="D402" s="247">
        <v>957.04143007417963</v>
      </c>
      <c r="E402" s="504" t="s">
        <v>661</v>
      </c>
      <c r="F402" s="213">
        <f t="shared" si="335"/>
        <v>0</v>
      </c>
      <c r="G402" s="207"/>
      <c r="H402" s="281" t="e">
        <f t="shared" si="326"/>
        <v>#VALUE!</v>
      </c>
      <c r="I402" s="212"/>
      <c r="J402" s="213"/>
      <c r="K402" s="213"/>
      <c r="L402" s="213"/>
      <c r="M402" s="213">
        <f t="shared" si="327"/>
        <v>0</v>
      </c>
      <c r="N402" s="207"/>
      <c r="O402" s="231"/>
      <c r="P402" s="230"/>
      <c r="Q402" s="230"/>
      <c r="R402" s="230"/>
      <c r="S402" s="213">
        <f t="shared" si="328"/>
        <v>0</v>
      </c>
      <c r="T402" s="216"/>
      <c r="U402" s="207"/>
      <c r="V402" s="216"/>
      <c r="W402" s="216"/>
      <c r="X402" s="216"/>
      <c r="Y402" s="213">
        <f t="shared" si="329"/>
        <v>0</v>
      </c>
      <c r="Z402" s="222" t="s">
        <v>1097</v>
      </c>
      <c r="AA402" s="228"/>
      <c r="AB402" s="218"/>
      <c r="AC402" s="220"/>
      <c r="AD402" s="220"/>
      <c r="AE402" s="220" t="str">
        <f t="shared" si="330"/>
        <v/>
      </c>
      <c r="AF402" s="229"/>
      <c r="AG402" s="220" t="e">
        <f t="shared" si="331"/>
        <v>#VALUE!</v>
      </c>
      <c r="AH402" s="220" t="str">
        <f t="shared" si="332"/>
        <v>2</v>
      </c>
      <c r="AI402" s="220"/>
      <c r="AJ402" s="221" t="str">
        <f t="shared" si="333"/>
        <v>2</v>
      </c>
      <c r="AK402" s="220" t="e">
        <f t="shared" si="334"/>
        <v>#VALUE!</v>
      </c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1:61" ht="16.5" customHeight="1" outlineLevel="2">
      <c r="A403" s="207">
        <f t="shared" si="324"/>
        <v>375</v>
      </c>
      <c r="B403" s="207">
        <v>11</v>
      </c>
      <c r="C403" s="208" t="s">
        <v>1681</v>
      </c>
      <c r="D403" s="247">
        <v>7171.5795642407129</v>
      </c>
      <c r="E403" s="504" t="s">
        <v>661</v>
      </c>
      <c r="F403" s="213">
        <f t="shared" si="335"/>
        <v>0</v>
      </c>
      <c r="G403" s="207"/>
      <c r="H403" s="281" t="e">
        <f t="shared" si="326"/>
        <v>#VALUE!</v>
      </c>
      <c r="I403" s="212"/>
      <c r="J403" s="213"/>
      <c r="K403" s="213"/>
      <c r="L403" s="213"/>
      <c r="M403" s="213">
        <f t="shared" si="327"/>
        <v>0</v>
      </c>
      <c r="N403" s="207"/>
      <c r="O403" s="231"/>
      <c r="P403" s="230"/>
      <c r="Q403" s="230"/>
      <c r="R403" s="230"/>
      <c r="S403" s="213">
        <f t="shared" si="328"/>
        <v>0</v>
      </c>
      <c r="T403" s="216"/>
      <c r="U403" s="207"/>
      <c r="V403" s="216"/>
      <c r="W403" s="216"/>
      <c r="X403" s="216"/>
      <c r="Y403" s="213">
        <f t="shared" si="329"/>
        <v>0</v>
      </c>
      <c r="Z403" s="222" t="s">
        <v>1129</v>
      </c>
      <c r="AA403" s="228" t="s">
        <v>1090</v>
      </c>
      <c r="AB403" s="218"/>
      <c r="AC403" s="220"/>
      <c r="AD403" s="220"/>
      <c r="AE403" s="220" t="str">
        <f t="shared" si="330"/>
        <v/>
      </c>
      <c r="AF403" s="229"/>
      <c r="AG403" s="220" t="e">
        <f t="shared" si="331"/>
        <v>#VALUE!</v>
      </c>
      <c r="AH403" s="220" t="str">
        <f t="shared" si="332"/>
        <v>2</v>
      </c>
      <c r="AI403" s="220"/>
      <c r="AJ403" s="221" t="str">
        <f t="shared" si="333"/>
        <v>2</v>
      </c>
      <c r="AK403" s="220" t="e">
        <f t="shared" si="334"/>
        <v>#VALUE!</v>
      </c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1:61" ht="16.5" customHeight="1" outlineLevel="2">
      <c r="A404" s="207">
        <f t="shared" si="324"/>
        <v>376</v>
      </c>
      <c r="B404" s="207">
        <v>12</v>
      </c>
      <c r="C404" s="208" t="s">
        <v>1682</v>
      </c>
      <c r="D404" s="247">
        <v>5346.950586863758</v>
      </c>
      <c r="E404" s="504" t="s">
        <v>91</v>
      </c>
      <c r="F404" s="213">
        <f>Y404</f>
        <v>3851.45</v>
      </c>
      <c r="G404" s="207"/>
      <c r="H404" s="281">
        <f t="shared" si="326"/>
        <v>2014</v>
      </c>
      <c r="I404" s="212" t="s">
        <v>729</v>
      </c>
      <c r="J404" s="213">
        <v>11144</v>
      </c>
      <c r="K404" s="213">
        <v>0</v>
      </c>
      <c r="L404" s="213">
        <v>11144</v>
      </c>
      <c r="M404" s="213">
        <f t="shared" si="327"/>
        <v>11144</v>
      </c>
      <c r="N404" s="207"/>
      <c r="O404" s="231"/>
      <c r="P404" s="230"/>
      <c r="Q404" s="230"/>
      <c r="R404" s="230"/>
      <c r="S404" s="213">
        <f t="shared" si="328"/>
        <v>0</v>
      </c>
      <c r="T404" s="216" t="s">
        <v>1076</v>
      </c>
      <c r="U404" s="227" t="s">
        <v>1683</v>
      </c>
      <c r="V404" s="216">
        <v>3041.27</v>
      </c>
      <c r="W404" s="216">
        <v>777.64</v>
      </c>
      <c r="X404" s="216">
        <v>3851.45</v>
      </c>
      <c r="Y404" s="213">
        <f t="shared" si="329"/>
        <v>3851.45</v>
      </c>
      <c r="Z404" s="222">
        <v>2022</v>
      </c>
      <c r="AA404" s="228"/>
      <c r="AB404" s="218"/>
      <c r="AC404" s="220"/>
      <c r="AD404" s="220"/>
      <c r="AE404" s="220" t="str">
        <f t="shared" si="330"/>
        <v>V</v>
      </c>
      <c r="AF404" s="229"/>
      <c r="AG404" s="220" t="str">
        <f t="shared" si="331"/>
        <v>2</v>
      </c>
      <c r="AH404" s="220" t="str">
        <f t="shared" si="332"/>
        <v>1</v>
      </c>
      <c r="AI404" s="220"/>
      <c r="AJ404" s="221" t="str">
        <f t="shared" si="333"/>
        <v>1</v>
      </c>
      <c r="AK404" s="220" t="str">
        <f t="shared" si="334"/>
        <v>2.1..1</v>
      </c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1:61" ht="16.5" customHeight="1" outlineLevel="2">
      <c r="A405" s="207">
        <f t="shared" si="324"/>
        <v>377</v>
      </c>
      <c r="B405" s="207">
        <v>13</v>
      </c>
      <c r="C405" s="208" t="s">
        <v>1684</v>
      </c>
      <c r="D405" s="247">
        <v>2191.5111952768452</v>
      </c>
      <c r="E405" s="504" t="s">
        <v>661</v>
      </c>
      <c r="F405" s="213">
        <f t="shared" ref="F405:F406" si="336">IF(M405&gt;0,M405,IF(S405&gt;0,S405,IF(Y405&gt;0,Y405,0)))</f>
        <v>0</v>
      </c>
      <c r="G405" s="207"/>
      <c r="H405" s="281" t="e">
        <f t="shared" si="326"/>
        <v>#VALUE!</v>
      </c>
      <c r="I405" s="212"/>
      <c r="J405" s="213"/>
      <c r="K405" s="213"/>
      <c r="L405" s="213"/>
      <c r="M405" s="213">
        <f t="shared" si="327"/>
        <v>0</v>
      </c>
      <c r="N405" s="207"/>
      <c r="O405" s="231"/>
      <c r="P405" s="230"/>
      <c r="Q405" s="230"/>
      <c r="R405" s="230"/>
      <c r="S405" s="213">
        <f t="shared" si="328"/>
        <v>0</v>
      </c>
      <c r="T405" s="216"/>
      <c r="U405" s="207"/>
      <c r="V405" s="216"/>
      <c r="W405" s="216"/>
      <c r="X405" s="216"/>
      <c r="Y405" s="213">
        <f t="shared" si="329"/>
        <v>0</v>
      </c>
      <c r="Z405" s="222" t="s">
        <v>1129</v>
      </c>
      <c r="AA405" s="228" t="s">
        <v>1090</v>
      </c>
      <c r="AB405" s="218"/>
      <c r="AC405" s="220"/>
      <c r="AD405" s="220"/>
      <c r="AE405" s="220" t="str">
        <f t="shared" si="330"/>
        <v/>
      </c>
      <c r="AF405" s="229"/>
      <c r="AG405" s="220" t="e">
        <f t="shared" si="331"/>
        <v>#VALUE!</v>
      </c>
      <c r="AH405" s="220" t="str">
        <f t="shared" si="332"/>
        <v>2</v>
      </c>
      <c r="AI405" s="220"/>
      <c r="AJ405" s="221" t="str">
        <f t="shared" si="333"/>
        <v>2</v>
      </c>
      <c r="AK405" s="220" t="e">
        <f t="shared" si="334"/>
        <v>#VALUE!</v>
      </c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1:61" ht="16.5" customHeight="1" outlineLevel="2">
      <c r="A406" s="207">
        <f t="shared" si="324"/>
        <v>378</v>
      </c>
      <c r="B406" s="207">
        <v>14</v>
      </c>
      <c r="C406" s="208" t="s">
        <v>1685</v>
      </c>
      <c r="D406" s="247">
        <v>2711.837824758496</v>
      </c>
      <c r="E406" s="504" t="s">
        <v>661</v>
      </c>
      <c r="F406" s="213">
        <f t="shared" si="336"/>
        <v>0</v>
      </c>
      <c r="G406" s="207"/>
      <c r="H406" s="281" t="e">
        <f t="shared" si="326"/>
        <v>#VALUE!</v>
      </c>
      <c r="I406" s="212"/>
      <c r="J406" s="213"/>
      <c r="K406" s="213"/>
      <c r="L406" s="213"/>
      <c r="M406" s="213">
        <f t="shared" si="327"/>
        <v>0</v>
      </c>
      <c r="N406" s="207"/>
      <c r="O406" s="231"/>
      <c r="P406" s="230"/>
      <c r="Q406" s="230"/>
      <c r="R406" s="230"/>
      <c r="S406" s="213">
        <f t="shared" si="328"/>
        <v>0</v>
      </c>
      <c r="T406" s="216"/>
      <c r="U406" s="207"/>
      <c r="V406" s="216"/>
      <c r="W406" s="216"/>
      <c r="X406" s="216"/>
      <c r="Y406" s="213">
        <f t="shared" si="329"/>
        <v>0</v>
      </c>
      <c r="Z406" s="222" t="s">
        <v>1669</v>
      </c>
      <c r="AA406" s="228"/>
      <c r="AB406" s="218"/>
      <c r="AC406" s="220"/>
      <c r="AD406" s="220"/>
      <c r="AE406" s="220" t="str">
        <f t="shared" si="330"/>
        <v/>
      </c>
      <c r="AF406" s="229"/>
      <c r="AG406" s="220" t="e">
        <f t="shared" si="331"/>
        <v>#VALUE!</v>
      </c>
      <c r="AH406" s="220" t="str">
        <f t="shared" si="332"/>
        <v>2</v>
      </c>
      <c r="AI406" s="220"/>
      <c r="AJ406" s="221" t="str">
        <f t="shared" si="333"/>
        <v>2</v>
      </c>
      <c r="AK406" s="220" t="e">
        <f t="shared" si="334"/>
        <v>#VALUE!</v>
      </c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1:61" ht="16.5" customHeight="1" outlineLevel="1">
      <c r="A407" s="207"/>
      <c r="B407" s="201"/>
      <c r="C407" s="249" t="s">
        <v>1686</v>
      </c>
      <c r="D407" s="250">
        <f>SUM(D393:D406)</f>
        <v>47043.377733252542</v>
      </c>
      <c r="E407" s="238">
        <f>COUNTIF(E393:E406,"D") + COUNTIF(E393:E406,"DS")</f>
        <v>6</v>
      </c>
      <c r="F407" s="254">
        <f>SUBTOTAL(9,F393:F406)</f>
        <v>42326.289999999994</v>
      </c>
      <c r="G407" s="201"/>
      <c r="H407" s="240"/>
      <c r="I407" s="264"/>
      <c r="J407" s="254">
        <f t="shared" ref="J407:M407" si="337">SUBTOTAL(9,J395:J404)</f>
        <v>48968.14</v>
      </c>
      <c r="K407" s="254">
        <f t="shared" si="337"/>
        <v>0</v>
      </c>
      <c r="L407" s="254">
        <f t="shared" si="337"/>
        <v>48968.14</v>
      </c>
      <c r="M407" s="254">
        <f t="shared" si="337"/>
        <v>48968.14</v>
      </c>
      <c r="N407" s="201"/>
      <c r="O407" s="236"/>
      <c r="P407" s="255">
        <v>0</v>
      </c>
      <c r="Q407" s="255">
        <v>0</v>
      </c>
      <c r="R407" s="255">
        <v>0</v>
      </c>
      <c r="S407" s="254">
        <f>SUBTOTAL(9,S395:S404)</f>
        <v>0</v>
      </c>
      <c r="T407" s="203"/>
      <c r="U407" s="201"/>
      <c r="V407" s="203">
        <v>0</v>
      </c>
      <c r="W407" s="203">
        <v>0</v>
      </c>
      <c r="X407" s="203">
        <v>0</v>
      </c>
      <c r="Y407" s="254">
        <f>SUBTOTAL(9,Y395:Y404)</f>
        <v>5058.1499999999996</v>
      </c>
      <c r="Z407" s="243" t="s">
        <v>1138</v>
      </c>
      <c r="AA407" s="228"/>
      <c r="AB407" s="218"/>
      <c r="AC407" s="220"/>
      <c r="AD407" s="220"/>
      <c r="AE407" s="244">
        <f>COUNTIF(AE393:AE406,"V") + COUNTIF(AE393:AE406,"VV") + COUNTIF(AE393:AE406,"VVV")</f>
        <v>2</v>
      </c>
      <c r="AF407" s="229"/>
      <c r="AG407" s="220"/>
      <c r="AH407" s="220"/>
      <c r="AI407" s="220"/>
      <c r="AJ407" s="221"/>
      <c r="AK407" s="220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1:61" ht="16.5" customHeight="1" outlineLevel="1">
      <c r="A408" s="207">
        <f t="shared" ref="A408:A420" si="338">SUBTOTAL(3,$B$6:B408)</f>
        <v>379</v>
      </c>
      <c r="B408" s="207">
        <v>1</v>
      </c>
      <c r="C408" s="208" t="s">
        <v>1687</v>
      </c>
      <c r="D408" s="247">
        <v>23809.278842771804</v>
      </c>
      <c r="E408" s="504" t="s">
        <v>661</v>
      </c>
      <c r="F408" s="213">
        <f t="shared" ref="F408:F420" si="339">IF(M408&gt;0,M408,IF(S408&gt;0,S408,IF(Y408&gt;0,Y408,0)))</f>
        <v>0</v>
      </c>
      <c r="G408" s="256"/>
      <c r="H408" s="307" t="e">
        <f t="shared" ref="H408:H420" si="340">VALUE(RIGHT(I408,4))</f>
        <v>#VALUE!</v>
      </c>
      <c r="I408" s="308"/>
      <c r="J408" s="257"/>
      <c r="K408" s="257"/>
      <c r="L408" s="257"/>
      <c r="M408" s="213">
        <f t="shared" ref="M408:M420" si="341">IF(L408&gt;0,L408,IF(J408&gt;0,J408,0))</f>
        <v>0</v>
      </c>
      <c r="N408" s="256"/>
      <c r="O408" s="258"/>
      <c r="P408" s="259"/>
      <c r="Q408" s="259"/>
      <c r="R408" s="259"/>
      <c r="S408" s="213">
        <f t="shared" ref="S408:S420" si="342">IF(R408&gt;0,R408,IF(P408&gt;0,P408,0))</f>
        <v>0</v>
      </c>
      <c r="T408" s="260"/>
      <c r="U408" s="256"/>
      <c r="V408" s="260"/>
      <c r="W408" s="260"/>
      <c r="X408" s="260"/>
      <c r="Y408" s="213">
        <f t="shared" ref="Y408:Y420" si="343">IF(X408&gt;0,X408,IF(V408&gt;0,V408,0))</f>
        <v>0</v>
      </c>
      <c r="Z408" s="222" t="s">
        <v>1129</v>
      </c>
      <c r="AA408" s="228" t="s">
        <v>1090</v>
      </c>
      <c r="AB408" s="218"/>
      <c r="AC408" s="220"/>
      <c r="AD408" s="220"/>
      <c r="AE408" s="220" t="str">
        <f t="shared" ref="AE408:AE420" si="344">CONCATENATE(G408,N408,T408)</f>
        <v/>
      </c>
      <c r="AF408" s="229"/>
      <c r="AG408" s="220" t="e">
        <f t="shared" ref="AG408:AG420" si="345">IF(H408=0,"3",IF(H408&lt;=2018,"2","1"))</f>
        <v>#VALUE!</v>
      </c>
      <c r="AH408" s="220" t="str">
        <f t="shared" ref="AH408:AH420" si="346">IF(M408&gt;0,"1","2")</f>
        <v>2</v>
      </c>
      <c r="AI408" s="220"/>
      <c r="AJ408" s="221" t="str">
        <f t="shared" ref="AJ408:AJ420" si="347">IF(S408&gt;0,"1",IF(Y408&gt;0,"1","2"))</f>
        <v>2</v>
      </c>
      <c r="AK408" s="220" t="e">
        <f t="shared" ref="AK408:AK420" si="348">CONCATENATE(AG408,".",AH408,".",AI408,".",AJ408)</f>
        <v>#VALUE!</v>
      </c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1:61" ht="16.5" customHeight="1" outlineLevel="1">
      <c r="A409" s="207">
        <f t="shared" si="338"/>
        <v>380</v>
      </c>
      <c r="B409" s="207">
        <v>2</v>
      </c>
      <c r="C409" s="208" t="s">
        <v>1688</v>
      </c>
      <c r="D409" s="247">
        <v>426.29707402534842</v>
      </c>
      <c r="E409" s="504" t="s">
        <v>661</v>
      </c>
      <c r="F409" s="213">
        <f t="shared" si="339"/>
        <v>0</v>
      </c>
      <c r="G409" s="256"/>
      <c r="H409" s="307" t="e">
        <f t="shared" si="340"/>
        <v>#VALUE!</v>
      </c>
      <c r="I409" s="308"/>
      <c r="J409" s="257"/>
      <c r="K409" s="257"/>
      <c r="L409" s="257"/>
      <c r="M409" s="213">
        <f t="shared" si="341"/>
        <v>0</v>
      </c>
      <c r="N409" s="256"/>
      <c r="O409" s="258"/>
      <c r="P409" s="259"/>
      <c r="Q409" s="259"/>
      <c r="R409" s="259"/>
      <c r="S409" s="213">
        <f t="shared" si="342"/>
        <v>0</v>
      </c>
      <c r="T409" s="260"/>
      <c r="U409" s="256"/>
      <c r="V409" s="260"/>
      <c r="W409" s="260"/>
      <c r="X409" s="260"/>
      <c r="Y409" s="213">
        <f t="shared" si="343"/>
        <v>0</v>
      </c>
      <c r="Z409" s="222" t="s">
        <v>1097</v>
      </c>
      <c r="AA409" s="228"/>
      <c r="AB409" s="218"/>
      <c r="AC409" s="220"/>
      <c r="AD409" s="220"/>
      <c r="AE409" s="220" t="str">
        <f t="shared" si="344"/>
        <v/>
      </c>
      <c r="AF409" s="229"/>
      <c r="AG409" s="220" t="e">
        <f t="shared" si="345"/>
        <v>#VALUE!</v>
      </c>
      <c r="AH409" s="220" t="str">
        <f t="shared" si="346"/>
        <v>2</v>
      </c>
      <c r="AI409" s="220"/>
      <c r="AJ409" s="221" t="str">
        <f t="shared" si="347"/>
        <v>2</v>
      </c>
      <c r="AK409" s="220" t="e">
        <f t="shared" si="348"/>
        <v>#VALUE!</v>
      </c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1:61" ht="16.5" customHeight="1" outlineLevel="1">
      <c r="A410" s="207">
        <f t="shared" si="338"/>
        <v>381</v>
      </c>
      <c r="B410" s="207">
        <v>3</v>
      </c>
      <c r="C410" s="208" t="s">
        <v>1689</v>
      </c>
      <c r="D410" s="247"/>
      <c r="E410" s="504" t="s">
        <v>661</v>
      </c>
      <c r="F410" s="213">
        <f t="shared" si="339"/>
        <v>0</v>
      </c>
      <c r="G410" s="256"/>
      <c r="H410" s="307" t="e">
        <f t="shared" si="340"/>
        <v>#VALUE!</v>
      </c>
      <c r="I410" s="308"/>
      <c r="J410" s="257"/>
      <c r="K410" s="257"/>
      <c r="L410" s="257"/>
      <c r="M410" s="213">
        <f t="shared" si="341"/>
        <v>0</v>
      </c>
      <c r="N410" s="256"/>
      <c r="O410" s="258"/>
      <c r="P410" s="259"/>
      <c r="Q410" s="259"/>
      <c r="R410" s="259"/>
      <c r="S410" s="213">
        <f t="shared" si="342"/>
        <v>0</v>
      </c>
      <c r="T410" s="260"/>
      <c r="U410" s="256"/>
      <c r="V410" s="260"/>
      <c r="W410" s="260"/>
      <c r="X410" s="260"/>
      <c r="Y410" s="213">
        <f t="shared" si="343"/>
        <v>0</v>
      </c>
      <c r="Z410" s="222" t="s">
        <v>1097</v>
      </c>
      <c r="AA410" s="228"/>
      <c r="AB410" s="218"/>
      <c r="AC410" s="220"/>
      <c r="AD410" s="220"/>
      <c r="AE410" s="220" t="str">
        <f t="shared" si="344"/>
        <v/>
      </c>
      <c r="AF410" s="229"/>
      <c r="AG410" s="220" t="e">
        <f t="shared" si="345"/>
        <v>#VALUE!</v>
      </c>
      <c r="AH410" s="220" t="str">
        <f t="shared" si="346"/>
        <v>2</v>
      </c>
      <c r="AI410" s="220"/>
      <c r="AJ410" s="221" t="str">
        <f t="shared" si="347"/>
        <v>2</v>
      </c>
      <c r="AK410" s="220" t="e">
        <f t="shared" si="348"/>
        <v>#VALUE!</v>
      </c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1:61" ht="16.5" customHeight="1" outlineLevel="2">
      <c r="A411" s="207">
        <f t="shared" si="338"/>
        <v>382</v>
      </c>
      <c r="B411" s="207">
        <v>4</v>
      </c>
      <c r="C411" s="245" t="s">
        <v>1690</v>
      </c>
      <c r="D411" s="209">
        <v>3622.9238781080912</v>
      </c>
      <c r="E411" s="504" t="s">
        <v>104</v>
      </c>
      <c r="F411" s="213">
        <f t="shared" si="339"/>
        <v>76216</v>
      </c>
      <c r="G411" s="207"/>
      <c r="H411" s="281">
        <f t="shared" si="340"/>
        <v>2012</v>
      </c>
      <c r="I411" s="212" t="s">
        <v>432</v>
      </c>
      <c r="J411" s="213">
        <v>76216</v>
      </c>
      <c r="K411" s="213">
        <v>0</v>
      </c>
      <c r="L411" s="213">
        <v>76216</v>
      </c>
      <c r="M411" s="213">
        <f t="shared" si="341"/>
        <v>76216</v>
      </c>
      <c r="N411" s="207"/>
      <c r="O411" s="253" t="s">
        <v>1691</v>
      </c>
      <c r="P411" s="230">
        <v>9200</v>
      </c>
      <c r="Q411" s="230">
        <v>0</v>
      </c>
      <c r="R411" s="230">
        <v>9200</v>
      </c>
      <c r="S411" s="213">
        <f t="shared" si="342"/>
        <v>9200</v>
      </c>
      <c r="T411" s="216"/>
      <c r="U411" s="221"/>
      <c r="V411" s="216"/>
      <c r="W411" s="216"/>
      <c r="X411" s="216"/>
      <c r="Y411" s="213">
        <f t="shared" si="343"/>
        <v>0</v>
      </c>
      <c r="Z411" s="222" t="s">
        <v>1129</v>
      </c>
      <c r="AA411" s="228" t="s">
        <v>1090</v>
      </c>
      <c r="AB411" s="218"/>
      <c r="AC411" s="220"/>
      <c r="AD411" s="220"/>
      <c r="AE411" s="220" t="str">
        <f t="shared" si="344"/>
        <v/>
      </c>
      <c r="AF411" s="229"/>
      <c r="AG411" s="220" t="str">
        <f t="shared" si="345"/>
        <v>2</v>
      </c>
      <c r="AH411" s="220" t="str">
        <f t="shared" si="346"/>
        <v>1</v>
      </c>
      <c r="AI411" s="220"/>
      <c r="AJ411" s="221" t="str">
        <f t="shared" si="347"/>
        <v>1</v>
      </c>
      <c r="AK411" s="220" t="str">
        <f t="shared" si="348"/>
        <v>2.1..1</v>
      </c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1:61" ht="16.5" customHeight="1" outlineLevel="2">
      <c r="A412" s="207">
        <f t="shared" si="338"/>
        <v>383</v>
      </c>
      <c r="B412" s="207">
        <v>5</v>
      </c>
      <c r="C412" s="245" t="s">
        <v>1692</v>
      </c>
      <c r="D412" s="209">
        <v>8578.8331977954495</v>
      </c>
      <c r="E412" s="504" t="s">
        <v>104</v>
      </c>
      <c r="F412" s="213">
        <f t="shared" si="339"/>
        <v>14216</v>
      </c>
      <c r="G412" s="207"/>
      <c r="H412" s="281">
        <f t="shared" si="340"/>
        <v>2012</v>
      </c>
      <c r="I412" s="212" t="s">
        <v>315</v>
      </c>
      <c r="J412" s="213">
        <v>14216</v>
      </c>
      <c r="K412" s="213">
        <v>0</v>
      </c>
      <c r="L412" s="213">
        <v>14216</v>
      </c>
      <c r="M412" s="213">
        <f t="shared" si="341"/>
        <v>14216</v>
      </c>
      <c r="N412" s="207"/>
      <c r="O412" s="231"/>
      <c r="P412" s="230"/>
      <c r="Q412" s="230"/>
      <c r="R412" s="230"/>
      <c r="S412" s="213">
        <f t="shared" si="342"/>
        <v>0</v>
      </c>
      <c r="T412" s="216"/>
      <c r="U412" s="207"/>
      <c r="V412" s="216"/>
      <c r="W412" s="216"/>
      <c r="X412" s="216"/>
      <c r="Y412" s="213">
        <f t="shared" si="343"/>
        <v>0</v>
      </c>
      <c r="Z412" s="222">
        <v>2023</v>
      </c>
      <c r="AA412" s="228" t="s">
        <v>1090</v>
      </c>
      <c r="AB412" s="218"/>
      <c r="AC412" s="220"/>
      <c r="AD412" s="220"/>
      <c r="AE412" s="220" t="str">
        <f t="shared" si="344"/>
        <v/>
      </c>
      <c r="AF412" s="229"/>
      <c r="AG412" s="220" t="str">
        <f t="shared" si="345"/>
        <v>2</v>
      </c>
      <c r="AH412" s="220" t="str">
        <f t="shared" si="346"/>
        <v>1</v>
      </c>
      <c r="AI412" s="220"/>
      <c r="AJ412" s="221" t="str">
        <f t="shared" si="347"/>
        <v>2</v>
      </c>
      <c r="AK412" s="220" t="str">
        <f t="shared" si="348"/>
        <v>2.1..2</v>
      </c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1:61" ht="16.5" customHeight="1" outlineLevel="2">
      <c r="A413" s="207">
        <f t="shared" si="338"/>
        <v>384</v>
      </c>
      <c r="B413" s="207">
        <v>6</v>
      </c>
      <c r="C413" s="245" t="s">
        <v>1693</v>
      </c>
      <c r="D413" s="209">
        <v>410.74972821906823</v>
      </c>
      <c r="E413" s="504" t="s">
        <v>91</v>
      </c>
      <c r="F413" s="213">
        <f t="shared" si="339"/>
        <v>427</v>
      </c>
      <c r="G413" s="207" t="s">
        <v>1076</v>
      </c>
      <c r="H413" s="223">
        <f t="shared" si="340"/>
        <v>2021</v>
      </c>
      <c r="I413" s="248" t="s">
        <v>243</v>
      </c>
      <c r="J413" s="246">
        <v>0</v>
      </c>
      <c r="K413" s="246">
        <v>0</v>
      </c>
      <c r="L413" s="246">
        <v>427</v>
      </c>
      <c r="M413" s="213">
        <f t="shared" si="341"/>
        <v>427</v>
      </c>
      <c r="N413" s="207"/>
      <c r="O413" s="231"/>
      <c r="P413" s="230"/>
      <c r="Q413" s="230"/>
      <c r="R413" s="230"/>
      <c r="S413" s="213">
        <f t="shared" si="342"/>
        <v>0</v>
      </c>
      <c r="T413" s="216"/>
      <c r="U413" s="207"/>
      <c r="V413" s="216"/>
      <c r="W413" s="216"/>
      <c r="X413" s="216"/>
      <c r="Y413" s="213">
        <f t="shared" si="343"/>
        <v>0</v>
      </c>
      <c r="Z413" s="222">
        <v>2020</v>
      </c>
      <c r="AA413" s="228"/>
      <c r="AB413" s="218"/>
      <c r="AC413" s="220"/>
      <c r="AD413" s="220"/>
      <c r="AE413" s="220" t="str">
        <f t="shared" si="344"/>
        <v>V</v>
      </c>
      <c r="AF413" s="229"/>
      <c r="AG413" s="220" t="str">
        <f t="shared" si="345"/>
        <v>1</v>
      </c>
      <c r="AH413" s="220" t="str">
        <f t="shared" si="346"/>
        <v>1</v>
      </c>
      <c r="AI413" s="220"/>
      <c r="AJ413" s="221" t="str">
        <f t="shared" si="347"/>
        <v>2</v>
      </c>
      <c r="AK413" s="220" t="str">
        <f t="shared" si="348"/>
        <v>1.1..2</v>
      </c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1:61" ht="16.5" customHeight="1" outlineLevel="2">
      <c r="A414" s="207">
        <f t="shared" si="338"/>
        <v>385</v>
      </c>
      <c r="B414" s="207">
        <v>7</v>
      </c>
      <c r="C414" s="245" t="s">
        <v>1694</v>
      </c>
      <c r="D414" s="209">
        <v>6056.8078699316975</v>
      </c>
      <c r="E414" s="504" t="s">
        <v>91</v>
      </c>
      <c r="F414" s="213">
        <f t="shared" si="339"/>
        <v>43119.79</v>
      </c>
      <c r="G414" s="207" t="s">
        <v>1076</v>
      </c>
      <c r="H414" s="223">
        <f t="shared" si="340"/>
        <v>19</v>
      </c>
      <c r="I414" s="248" t="s">
        <v>1695</v>
      </c>
      <c r="J414" s="246">
        <v>6437.33</v>
      </c>
      <c r="K414" s="246">
        <v>0</v>
      </c>
      <c r="L414" s="246">
        <v>43119.79</v>
      </c>
      <c r="M414" s="213">
        <f t="shared" si="341"/>
        <v>43119.79</v>
      </c>
      <c r="N414" s="207"/>
      <c r="O414" s="253" t="s">
        <v>1696</v>
      </c>
      <c r="P414" s="230">
        <v>7125.25</v>
      </c>
      <c r="Q414" s="230">
        <v>0</v>
      </c>
      <c r="R414" s="230">
        <v>7125.25</v>
      </c>
      <c r="S414" s="213">
        <f t="shared" si="342"/>
        <v>7125.25</v>
      </c>
      <c r="T414" s="216"/>
      <c r="U414" s="221"/>
      <c r="V414" s="216"/>
      <c r="W414" s="216"/>
      <c r="X414" s="216"/>
      <c r="Y414" s="213">
        <f t="shared" si="343"/>
        <v>0</v>
      </c>
      <c r="Z414" s="222">
        <v>2023</v>
      </c>
      <c r="AA414" s="228" t="s">
        <v>1090</v>
      </c>
      <c r="AB414" s="218"/>
      <c r="AC414" s="220"/>
      <c r="AD414" s="220"/>
      <c r="AE414" s="220" t="str">
        <f t="shared" si="344"/>
        <v>V</v>
      </c>
      <c r="AF414" s="229"/>
      <c r="AG414" s="220" t="str">
        <f t="shared" si="345"/>
        <v>2</v>
      </c>
      <c r="AH414" s="220" t="str">
        <f t="shared" si="346"/>
        <v>1</v>
      </c>
      <c r="AI414" s="220"/>
      <c r="AJ414" s="221" t="str">
        <f t="shared" si="347"/>
        <v>1</v>
      </c>
      <c r="AK414" s="220" t="str">
        <f t="shared" si="348"/>
        <v>2.1..1</v>
      </c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1:61" ht="16.5" customHeight="1" outlineLevel="2">
      <c r="A415" s="207">
        <f t="shared" si="338"/>
        <v>386</v>
      </c>
      <c r="B415" s="207">
        <v>8</v>
      </c>
      <c r="C415" s="245" t="s">
        <v>1697</v>
      </c>
      <c r="D415" s="209">
        <v>6683.5709048576873</v>
      </c>
      <c r="E415" s="504" t="s">
        <v>91</v>
      </c>
      <c r="F415" s="213">
        <f t="shared" si="339"/>
        <v>8394</v>
      </c>
      <c r="G415" s="207"/>
      <c r="H415" s="281" t="e">
        <f t="shared" si="340"/>
        <v>#VALUE!</v>
      </c>
      <c r="I415" s="212"/>
      <c r="J415" s="213"/>
      <c r="K415" s="213"/>
      <c r="L415" s="213"/>
      <c r="M415" s="213">
        <f t="shared" si="341"/>
        <v>0</v>
      </c>
      <c r="N415" s="207" t="s">
        <v>1076</v>
      </c>
      <c r="O415" s="231" t="s">
        <v>1450</v>
      </c>
      <c r="P415" s="230">
        <v>8394</v>
      </c>
      <c r="Q415" s="230">
        <v>146100</v>
      </c>
      <c r="R415" s="230">
        <v>0</v>
      </c>
      <c r="S415" s="213">
        <f t="shared" si="342"/>
        <v>8394</v>
      </c>
      <c r="T415" s="216"/>
      <c r="U415" s="207"/>
      <c r="V415" s="216"/>
      <c r="W415" s="216"/>
      <c r="X415" s="216"/>
      <c r="Y415" s="213">
        <f t="shared" si="343"/>
        <v>0</v>
      </c>
      <c r="Z415" s="222">
        <v>2020</v>
      </c>
      <c r="AA415" s="228"/>
      <c r="AB415" s="218"/>
      <c r="AC415" s="220"/>
      <c r="AD415" s="220"/>
      <c r="AE415" s="220" t="str">
        <f t="shared" si="344"/>
        <v>V</v>
      </c>
      <c r="AF415" s="229"/>
      <c r="AG415" s="220" t="e">
        <f t="shared" si="345"/>
        <v>#VALUE!</v>
      </c>
      <c r="AH415" s="220" t="str">
        <f t="shared" si="346"/>
        <v>2</v>
      </c>
      <c r="AI415" s="220"/>
      <c r="AJ415" s="221" t="str">
        <f t="shared" si="347"/>
        <v>1</v>
      </c>
      <c r="AK415" s="220" t="e">
        <f t="shared" si="348"/>
        <v>#VALUE!</v>
      </c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1:61" ht="16.5" customHeight="1" outlineLevel="2">
      <c r="A416" s="207">
        <f t="shared" si="338"/>
        <v>387</v>
      </c>
      <c r="B416" s="207">
        <v>9</v>
      </c>
      <c r="C416" s="245" t="s">
        <v>1698</v>
      </c>
      <c r="D416" s="209">
        <v>27413.091240013317</v>
      </c>
      <c r="E416" s="504" t="s">
        <v>91</v>
      </c>
      <c r="F416" s="213">
        <f t="shared" si="339"/>
        <v>59956</v>
      </c>
      <c r="G416" s="207" t="s">
        <v>1076</v>
      </c>
      <c r="H416" s="223">
        <f t="shared" si="340"/>
        <v>2020</v>
      </c>
      <c r="I416" s="248" t="s">
        <v>155</v>
      </c>
      <c r="J416" s="246">
        <v>0</v>
      </c>
      <c r="K416" s="246">
        <v>0</v>
      </c>
      <c r="L416" s="246">
        <v>59956</v>
      </c>
      <c r="M416" s="213">
        <f t="shared" si="341"/>
        <v>59956</v>
      </c>
      <c r="N416" s="207"/>
      <c r="O416" s="253" t="s">
        <v>1652</v>
      </c>
      <c r="P416" s="230">
        <v>28417</v>
      </c>
      <c r="Q416" s="230">
        <v>26370</v>
      </c>
      <c r="R416" s="230">
        <v>54787</v>
      </c>
      <c r="S416" s="213">
        <f t="shared" si="342"/>
        <v>54787</v>
      </c>
      <c r="T416" s="216"/>
      <c r="U416" s="221"/>
      <c r="V416" s="216"/>
      <c r="W416" s="216"/>
      <c r="X416" s="216"/>
      <c r="Y416" s="213">
        <f t="shared" si="343"/>
        <v>0</v>
      </c>
      <c r="Z416" s="222">
        <v>2020</v>
      </c>
      <c r="AA416" s="228"/>
      <c r="AB416" s="218"/>
      <c r="AC416" s="220"/>
      <c r="AD416" s="220"/>
      <c r="AE416" s="220" t="str">
        <f t="shared" si="344"/>
        <v>V</v>
      </c>
      <c r="AF416" s="229"/>
      <c r="AG416" s="220" t="str">
        <f t="shared" si="345"/>
        <v>1</v>
      </c>
      <c r="AH416" s="220" t="str">
        <f t="shared" si="346"/>
        <v>1</v>
      </c>
      <c r="AI416" s="220"/>
      <c r="AJ416" s="221" t="str">
        <f t="shared" si="347"/>
        <v>1</v>
      </c>
      <c r="AK416" s="220" t="str">
        <f t="shared" si="348"/>
        <v>1.1..1</v>
      </c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1:61" ht="16.5" customHeight="1" outlineLevel="2">
      <c r="A417" s="207">
        <f t="shared" si="338"/>
        <v>388</v>
      </c>
      <c r="B417" s="207">
        <v>10</v>
      </c>
      <c r="C417" s="245" t="s">
        <v>1699</v>
      </c>
      <c r="D417" s="209">
        <v>15653.907115466192</v>
      </c>
      <c r="E417" s="504" t="s">
        <v>104</v>
      </c>
      <c r="F417" s="213">
        <f t="shared" si="339"/>
        <v>52358</v>
      </c>
      <c r="G417" s="207"/>
      <c r="H417" s="281" t="e">
        <f t="shared" si="340"/>
        <v>#VALUE!</v>
      </c>
      <c r="I417" s="212"/>
      <c r="J417" s="213"/>
      <c r="K417" s="213"/>
      <c r="L417" s="213"/>
      <c r="M417" s="213">
        <f t="shared" si="341"/>
        <v>0</v>
      </c>
      <c r="N417" s="207"/>
      <c r="O417" s="231" t="s">
        <v>1700</v>
      </c>
      <c r="P417" s="230">
        <v>52358</v>
      </c>
      <c r="Q417" s="230">
        <v>0</v>
      </c>
      <c r="R417" s="230">
        <v>52358</v>
      </c>
      <c r="S417" s="213">
        <f t="shared" si="342"/>
        <v>52358</v>
      </c>
      <c r="T417" s="216"/>
      <c r="U417" s="207"/>
      <c r="V417" s="216"/>
      <c r="W417" s="216"/>
      <c r="X417" s="216"/>
      <c r="Y417" s="213">
        <f t="shared" si="343"/>
        <v>0</v>
      </c>
      <c r="Z417" s="222">
        <v>2023</v>
      </c>
      <c r="AA417" s="228" t="s">
        <v>1090</v>
      </c>
      <c r="AB417" s="218"/>
      <c r="AC417" s="220"/>
      <c r="AD417" s="220"/>
      <c r="AE417" s="220" t="str">
        <f t="shared" si="344"/>
        <v/>
      </c>
      <c r="AF417" s="229"/>
      <c r="AG417" s="220" t="e">
        <f t="shared" si="345"/>
        <v>#VALUE!</v>
      </c>
      <c r="AH417" s="220" t="str">
        <f t="shared" si="346"/>
        <v>2</v>
      </c>
      <c r="AI417" s="220"/>
      <c r="AJ417" s="221" t="str">
        <f t="shared" si="347"/>
        <v>1</v>
      </c>
      <c r="AK417" s="220" t="e">
        <f t="shared" si="348"/>
        <v>#VALUE!</v>
      </c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1:61" ht="16.5" customHeight="1" outlineLevel="2">
      <c r="A418" s="207">
        <f t="shared" si="338"/>
        <v>389</v>
      </c>
      <c r="B418" s="207">
        <v>11</v>
      </c>
      <c r="C418" s="245" t="s">
        <v>1701</v>
      </c>
      <c r="D418" s="209">
        <v>13822.844059525192</v>
      </c>
      <c r="E418" s="504" t="s">
        <v>91</v>
      </c>
      <c r="F418" s="213">
        <f t="shared" si="339"/>
        <v>27537</v>
      </c>
      <c r="G418" s="207" t="s">
        <v>1076</v>
      </c>
      <c r="H418" s="223">
        <f t="shared" si="340"/>
        <v>2021</v>
      </c>
      <c r="I418" s="248" t="s">
        <v>149</v>
      </c>
      <c r="J418" s="246">
        <v>0</v>
      </c>
      <c r="K418" s="246">
        <v>0</v>
      </c>
      <c r="L418" s="246">
        <v>27537</v>
      </c>
      <c r="M418" s="213">
        <f t="shared" si="341"/>
        <v>27537</v>
      </c>
      <c r="N418" s="207"/>
      <c r="O418" s="253" t="s">
        <v>1702</v>
      </c>
      <c r="P418" s="230">
        <v>17393</v>
      </c>
      <c r="Q418" s="230">
        <v>0</v>
      </c>
      <c r="R418" s="230">
        <v>17393</v>
      </c>
      <c r="S418" s="213">
        <f t="shared" si="342"/>
        <v>17393</v>
      </c>
      <c r="T418" s="216"/>
      <c r="U418" s="221"/>
      <c r="V418" s="216"/>
      <c r="W418" s="216"/>
      <c r="X418" s="216"/>
      <c r="Y418" s="213">
        <f t="shared" si="343"/>
        <v>0</v>
      </c>
      <c r="Z418" s="222">
        <v>2020</v>
      </c>
      <c r="AA418" s="228"/>
      <c r="AB418" s="218"/>
      <c r="AC418" s="220"/>
      <c r="AD418" s="220"/>
      <c r="AE418" s="220" t="str">
        <f t="shared" si="344"/>
        <v>V</v>
      </c>
      <c r="AF418" s="229"/>
      <c r="AG418" s="220" t="str">
        <f t="shared" si="345"/>
        <v>1</v>
      </c>
      <c r="AH418" s="220" t="str">
        <f t="shared" si="346"/>
        <v>1</v>
      </c>
      <c r="AI418" s="220"/>
      <c r="AJ418" s="221" t="str">
        <f t="shared" si="347"/>
        <v>1</v>
      </c>
      <c r="AK418" s="220" t="str">
        <f t="shared" si="348"/>
        <v>1.1..1</v>
      </c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1:61" ht="16.5" customHeight="1" outlineLevel="2">
      <c r="A419" s="207">
        <f t="shared" si="338"/>
        <v>390</v>
      </c>
      <c r="B419" s="207">
        <v>12</v>
      </c>
      <c r="C419" s="245" t="s">
        <v>1703</v>
      </c>
      <c r="D419" s="209">
        <v>1317.8582057669164</v>
      </c>
      <c r="E419" s="504" t="s">
        <v>104</v>
      </c>
      <c r="F419" s="213">
        <f t="shared" si="339"/>
        <v>5078</v>
      </c>
      <c r="G419" s="207"/>
      <c r="H419" s="281">
        <f t="shared" si="340"/>
        <v>2012</v>
      </c>
      <c r="I419" s="212" t="s">
        <v>223</v>
      </c>
      <c r="J419" s="213">
        <v>5078</v>
      </c>
      <c r="K419" s="213">
        <v>0</v>
      </c>
      <c r="L419" s="213">
        <v>5078</v>
      </c>
      <c r="M419" s="213">
        <f t="shared" si="341"/>
        <v>5078</v>
      </c>
      <c r="N419" s="207"/>
      <c r="O419" s="253" t="s">
        <v>1704</v>
      </c>
      <c r="P419" s="230">
        <v>5113</v>
      </c>
      <c r="Q419" s="230">
        <v>0</v>
      </c>
      <c r="R419" s="230">
        <v>5113</v>
      </c>
      <c r="S419" s="213">
        <f t="shared" si="342"/>
        <v>5113</v>
      </c>
      <c r="T419" s="216"/>
      <c r="U419" s="221"/>
      <c r="V419" s="216"/>
      <c r="W419" s="216"/>
      <c r="X419" s="216"/>
      <c r="Y419" s="213">
        <f t="shared" si="343"/>
        <v>0</v>
      </c>
      <c r="Z419" s="222" t="s">
        <v>1097</v>
      </c>
      <c r="AA419" s="228"/>
      <c r="AB419" s="218"/>
      <c r="AC419" s="220"/>
      <c r="AD419" s="220"/>
      <c r="AE419" s="220" t="str">
        <f t="shared" si="344"/>
        <v/>
      </c>
      <c r="AF419" s="229"/>
      <c r="AG419" s="220" t="str">
        <f t="shared" si="345"/>
        <v>2</v>
      </c>
      <c r="AH419" s="220" t="str">
        <f t="shared" si="346"/>
        <v>1</v>
      </c>
      <c r="AI419" s="220"/>
      <c r="AJ419" s="221" t="str">
        <f t="shared" si="347"/>
        <v>1</v>
      </c>
      <c r="AK419" s="220" t="str">
        <f t="shared" si="348"/>
        <v>2.1..1</v>
      </c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1:61" ht="16.5" customHeight="1" outlineLevel="2">
      <c r="A420" s="207">
        <f t="shared" si="338"/>
        <v>391</v>
      </c>
      <c r="B420" s="207">
        <v>13</v>
      </c>
      <c r="C420" s="245" t="s">
        <v>1705</v>
      </c>
      <c r="D420" s="209">
        <v>9031.949077692112</v>
      </c>
      <c r="E420" s="504" t="s">
        <v>104</v>
      </c>
      <c r="F420" s="213">
        <f t="shared" si="339"/>
        <v>5502</v>
      </c>
      <c r="G420" s="207"/>
      <c r="H420" s="281">
        <f t="shared" si="340"/>
        <v>2012</v>
      </c>
      <c r="I420" s="212" t="s">
        <v>1497</v>
      </c>
      <c r="J420" s="213">
        <v>5502</v>
      </c>
      <c r="K420" s="213">
        <v>0</v>
      </c>
      <c r="L420" s="213">
        <v>5502</v>
      </c>
      <c r="M420" s="213">
        <f t="shared" si="341"/>
        <v>5502</v>
      </c>
      <c r="N420" s="207"/>
      <c r="O420" s="231"/>
      <c r="P420" s="230"/>
      <c r="Q420" s="230"/>
      <c r="R420" s="230"/>
      <c r="S420" s="213">
        <f t="shared" si="342"/>
        <v>0</v>
      </c>
      <c r="T420" s="216"/>
      <c r="U420" s="207"/>
      <c r="V420" s="216"/>
      <c r="W420" s="216"/>
      <c r="X420" s="216"/>
      <c r="Y420" s="213">
        <f t="shared" si="343"/>
        <v>0</v>
      </c>
      <c r="Z420" s="222">
        <v>2023</v>
      </c>
      <c r="AA420" s="228" t="s">
        <v>1090</v>
      </c>
      <c r="AB420" s="218"/>
      <c r="AC420" s="220"/>
      <c r="AD420" s="220"/>
      <c r="AE420" s="220" t="str">
        <f t="shared" si="344"/>
        <v/>
      </c>
      <c r="AF420" s="229"/>
      <c r="AG420" s="220" t="str">
        <f t="shared" si="345"/>
        <v>2</v>
      </c>
      <c r="AH420" s="220" t="str">
        <f t="shared" si="346"/>
        <v>1</v>
      </c>
      <c r="AI420" s="220"/>
      <c r="AJ420" s="221" t="str">
        <f t="shared" si="347"/>
        <v>2</v>
      </c>
      <c r="AK420" s="220" t="str">
        <f t="shared" si="348"/>
        <v>2.1..2</v>
      </c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1:61" ht="16.5" customHeight="1" outlineLevel="1">
      <c r="A421" s="207"/>
      <c r="B421" s="201"/>
      <c r="C421" s="249" t="s">
        <v>1706</v>
      </c>
      <c r="D421" s="250">
        <f>SUM(D408:D420)</f>
        <v>116828.11119417287</v>
      </c>
      <c r="E421" s="238">
        <f>COUNTIF(E408:E420,"D") + COUNTIF(E408:E420,"DS")</f>
        <v>10</v>
      </c>
      <c r="F421" s="254">
        <f>SUBTOTAL(9,F408:F420)</f>
        <v>292803.79000000004</v>
      </c>
      <c r="G421" s="201"/>
      <c r="H421" s="240"/>
      <c r="I421" s="264"/>
      <c r="J421" s="254">
        <f t="shared" ref="J421:N421" si="349">SUBTOTAL(9,J411:J420)</f>
        <v>107449.33</v>
      </c>
      <c r="K421" s="254">
        <f t="shared" si="349"/>
        <v>0</v>
      </c>
      <c r="L421" s="254">
        <f t="shared" si="349"/>
        <v>232051.79</v>
      </c>
      <c r="M421" s="254">
        <f t="shared" si="349"/>
        <v>232051.79</v>
      </c>
      <c r="N421" s="254">
        <f t="shared" si="349"/>
        <v>0</v>
      </c>
      <c r="O421" s="236"/>
      <c r="P421" s="255">
        <v>128000.25</v>
      </c>
      <c r="Q421" s="255">
        <v>172470</v>
      </c>
      <c r="R421" s="255">
        <v>145976.25</v>
      </c>
      <c r="S421" s="254">
        <f>SUBTOTAL(9,S411:S420)</f>
        <v>154370.25</v>
      </c>
      <c r="T421" s="203"/>
      <c r="U421" s="201"/>
      <c r="V421" s="203">
        <v>128000.25</v>
      </c>
      <c r="W421" s="203">
        <v>172470</v>
      </c>
      <c r="X421" s="203">
        <v>145976.25</v>
      </c>
      <c r="Y421" s="254">
        <f>SUBTOTAL(9,Y411:Y420)</f>
        <v>0</v>
      </c>
      <c r="Z421" s="243" t="s">
        <v>1138</v>
      </c>
      <c r="AA421" s="302"/>
      <c r="AB421" s="303"/>
      <c r="AC421" s="304"/>
      <c r="AD421" s="304"/>
      <c r="AE421" s="244">
        <f>COUNTIF(AE408:AE420,"V") + COUNTIF(AE408:AE420,"VV") + COUNTIF(AE408:AE420,"VVV")</f>
        <v>5</v>
      </c>
      <c r="AF421" s="305"/>
      <c r="AG421" s="220"/>
      <c r="AH421" s="220"/>
      <c r="AI421" s="304"/>
      <c r="AJ421" s="221"/>
      <c r="AK421" s="220"/>
      <c r="AL421" s="306"/>
      <c r="AM421" s="306"/>
      <c r="AN421" s="306"/>
      <c r="AO421" s="306"/>
      <c r="AP421" s="306"/>
      <c r="AQ421" s="306"/>
      <c r="AR421" s="306"/>
      <c r="AS421" s="306"/>
      <c r="AT421" s="306"/>
      <c r="AU421" s="306"/>
      <c r="AV421" s="306"/>
      <c r="AW421" s="306"/>
      <c r="AX421" s="306"/>
      <c r="AY421" s="306"/>
      <c r="AZ421" s="306"/>
      <c r="BA421" s="306"/>
      <c r="BB421" s="306"/>
      <c r="BC421" s="306"/>
      <c r="BD421" s="306"/>
      <c r="BE421" s="306"/>
      <c r="BF421" s="306"/>
      <c r="BG421" s="306"/>
      <c r="BH421" s="306"/>
      <c r="BI421" s="306"/>
    </row>
    <row r="422" spans="1:61" ht="16.5" customHeight="1" outlineLevel="2">
      <c r="A422" s="207">
        <f t="shared" ref="A422:A445" si="350">SUBTOTAL(3,$B$6:B422)</f>
        <v>392</v>
      </c>
      <c r="B422" s="207">
        <v>1</v>
      </c>
      <c r="C422" s="208" t="s">
        <v>1707</v>
      </c>
      <c r="D422" s="209">
        <v>6584.5753760067028</v>
      </c>
      <c r="E422" s="504" t="s">
        <v>91</v>
      </c>
      <c r="F422" s="213">
        <f t="shared" ref="F422:F423" si="351">Y422</f>
        <v>6872.68</v>
      </c>
      <c r="G422" s="207"/>
      <c r="H422" s="223">
        <f t="shared" ref="H422:H445" si="352">VALUE(RIGHT(I422,4))</f>
        <v>2012</v>
      </c>
      <c r="I422" s="224" t="s">
        <v>588</v>
      </c>
      <c r="J422" s="213">
        <v>15480</v>
      </c>
      <c r="K422" s="213">
        <v>0</v>
      </c>
      <c r="L422" s="213">
        <v>15480</v>
      </c>
      <c r="M422" s="213">
        <f t="shared" ref="M422:M445" si="353">IF(L422&gt;0,L422,IF(J422&gt;0,J422,0))</f>
        <v>15480</v>
      </c>
      <c r="N422" s="207"/>
      <c r="O422" s="231"/>
      <c r="P422" s="230"/>
      <c r="Q422" s="230"/>
      <c r="R422" s="230"/>
      <c r="S422" s="213">
        <f t="shared" ref="S422:S445" si="354">IF(R422&gt;0,R422,IF(P422&gt;0,P422,0))</f>
        <v>0</v>
      </c>
      <c r="T422" s="216" t="s">
        <v>1076</v>
      </c>
      <c r="U422" s="518" t="s">
        <v>1708</v>
      </c>
      <c r="V422" s="216">
        <v>5734.95</v>
      </c>
      <c r="W422" s="216">
        <v>1137.73</v>
      </c>
      <c r="X422" s="216">
        <v>6872.68</v>
      </c>
      <c r="Y422" s="213">
        <f t="shared" ref="Y422:Y445" si="355">IF(X422&gt;0,X422,IF(V422&gt;0,V422,0))</f>
        <v>6872.68</v>
      </c>
      <c r="Z422" s="222">
        <v>2022</v>
      </c>
      <c r="AA422" s="228"/>
      <c r="AB422" s="218"/>
      <c r="AC422" s="220"/>
      <c r="AD422" s="309" t="s">
        <v>1709</v>
      </c>
      <c r="AE422" s="220" t="str">
        <f t="shared" ref="AE422:AE445" si="356">CONCATENATE(G422,N422,T422)</f>
        <v>V</v>
      </c>
      <c r="AF422" s="229"/>
      <c r="AG422" s="220" t="str">
        <f t="shared" ref="AG422:AG445" si="357">IF(H422=0,"3",IF(H422&lt;=2018,"2","1"))</f>
        <v>2</v>
      </c>
      <c r="AH422" s="220" t="str">
        <f t="shared" ref="AH422:AH445" si="358">IF(M422&gt;0,"1","2")</f>
        <v>1</v>
      </c>
      <c r="AI422" s="220"/>
      <c r="AJ422" s="221" t="str">
        <f t="shared" ref="AJ422:AJ445" si="359">IF(S422&gt;0,"1",IF(Y422&gt;0,"1","2"))</f>
        <v>1</v>
      </c>
      <c r="AK422" s="220" t="str">
        <f t="shared" ref="AK422:AK445" si="360">CONCATENATE(AG422,".",AH422,".",AI422,".",AJ422)</f>
        <v>2.1..1</v>
      </c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1:61" ht="16.5" customHeight="1" outlineLevel="2">
      <c r="A423" s="207">
        <f t="shared" si="350"/>
        <v>393</v>
      </c>
      <c r="B423" s="207">
        <v>2</v>
      </c>
      <c r="C423" s="208" t="s">
        <v>1710</v>
      </c>
      <c r="D423" s="209">
        <v>15702.545830693423</v>
      </c>
      <c r="E423" s="504" t="s">
        <v>91</v>
      </c>
      <c r="F423" s="213">
        <f t="shared" si="351"/>
        <v>9398.92</v>
      </c>
      <c r="G423" s="207"/>
      <c r="H423" s="223">
        <f t="shared" si="352"/>
        <v>2012</v>
      </c>
      <c r="I423" s="224" t="s">
        <v>432</v>
      </c>
      <c r="J423" s="213">
        <v>11488</v>
      </c>
      <c r="K423" s="213">
        <v>0</v>
      </c>
      <c r="L423" s="213">
        <v>11488</v>
      </c>
      <c r="M423" s="213">
        <f t="shared" si="353"/>
        <v>11488</v>
      </c>
      <c r="N423" s="207"/>
      <c r="O423" s="231"/>
      <c r="P423" s="230"/>
      <c r="Q423" s="230"/>
      <c r="R423" s="230"/>
      <c r="S423" s="213">
        <f t="shared" si="354"/>
        <v>0</v>
      </c>
      <c r="T423" s="216" t="s">
        <v>1076</v>
      </c>
      <c r="U423" s="507" t="s">
        <v>1711</v>
      </c>
      <c r="V423" s="232">
        <v>9398.92</v>
      </c>
      <c r="W423" s="233">
        <v>467.63</v>
      </c>
      <c r="X423" s="216"/>
      <c r="Y423" s="213">
        <f t="shared" si="355"/>
        <v>9398.92</v>
      </c>
      <c r="Z423" s="222">
        <v>2022</v>
      </c>
      <c r="AA423" s="228"/>
      <c r="AB423" s="218"/>
      <c r="AC423" s="220"/>
      <c r="AD423" s="309" t="s">
        <v>1709</v>
      </c>
      <c r="AE423" s="220" t="str">
        <f t="shared" si="356"/>
        <v>V</v>
      </c>
      <c r="AF423" s="229"/>
      <c r="AG423" s="220" t="str">
        <f t="shared" si="357"/>
        <v>2</v>
      </c>
      <c r="AH423" s="220" t="str">
        <f t="shared" si="358"/>
        <v>1</v>
      </c>
      <c r="AI423" s="220"/>
      <c r="AJ423" s="221" t="str">
        <f t="shared" si="359"/>
        <v>1</v>
      </c>
      <c r="AK423" s="220" t="str">
        <f t="shared" si="360"/>
        <v>2.1..1</v>
      </c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1:61" ht="16.5" customHeight="1" outlineLevel="2">
      <c r="A424" s="207">
        <f t="shared" si="350"/>
        <v>394</v>
      </c>
      <c r="B424" s="207">
        <v>3</v>
      </c>
      <c r="C424" s="208" t="s">
        <v>1712</v>
      </c>
      <c r="D424" s="209">
        <v>117841.88784165261</v>
      </c>
      <c r="E424" s="504" t="s">
        <v>91</v>
      </c>
      <c r="F424" s="213">
        <f t="shared" ref="F424:F426" si="361">IF(M424&gt;0,M424,IF(S424&gt;0,S424,IF(Y424&gt;0,Y424,0)))</f>
        <v>119216</v>
      </c>
      <c r="G424" s="227" t="s">
        <v>1076</v>
      </c>
      <c r="H424" s="223">
        <f t="shared" si="352"/>
        <v>2013</v>
      </c>
      <c r="I424" s="224" t="s">
        <v>167</v>
      </c>
      <c r="J424" s="246">
        <v>119216</v>
      </c>
      <c r="K424" s="246">
        <v>0</v>
      </c>
      <c r="L424" s="246">
        <v>119216</v>
      </c>
      <c r="M424" s="213">
        <f t="shared" si="353"/>
        <v>119216</v>
      </c>
      <c r="N424" s="207"/>
      <c r="O424" s="231"/>
      <c r="P424" s="230"/>
      <c r="Q424" s="230"/>
      <c r="R424" s="230"/>
      <c r="S424" s="213">
        <f t="shared" si="354"/>
        <v>0</v>
      </c>
      <c r="T424" s="216"/>
      <c r="U424" s="207"/>
      <c r="V424" s="216"/>
      <c r="W424" s="216"/>
      <c r="X424" s="216"/>
      <c r="Y424" s="213">
        <f t="shared" si="355"/>
        <v>0</v>
      </c>
      <c r="Z424" s="222">
        <v>2020</v>
      </c>
      <c r="AA424" s="228"/>
      <c r="AB424" s="218"/>
      <c r="AC424" s="220"/>
      <c r="AD424" s="309" t="s">
        <v>1713</v>
      </c>
      <c r="AE424" s="220" t="str">
        <f t="shared" si="356"/>
        <v>V</v>
      </c>
      <c r="AF424" s="229"/>
      <c r="AG424" s="220" t="str">
        <f t="shared" si="357"/>
        <v>2</v>
      </c>
      <c r="AH424" s="220" t="str">
        <f t="shared" si="358"/>
        <v>1</v>
      </c>
      <c r="AI424" s="220"/>
      <c r="AJ424" s="221" t="str">
        <f t="shared" si="359"/>
        <v>2</v>
      </c>
      <c r="AK424" s="220" t="str">
        <f t="shared" si="360"/>
        <v>2.1..2</v>
      </c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1:61" ht="16.5" customHeight="1" outlineLevel="2">
      <c r="A425" s="207">
        <f t="shared" si="350"/>
        <v>395</v>
      </c>
      <c r="B425" s="207">
        <v>4</v>
      </c>
      <c r="C425" s="208" t="s">
        <v>1714</v>
      </c>
      <c r="D425" s="209">
        <v>24843.955447433087</v>
      </c>
      <c r="E425" s="504" t="s">
        <v>104</v>
      </c>
      <c r="F425" s="213">
        <f t="shared" si="361"/>
        <v>68628</v>
      </c>
      <c r="G425" s="207"/>
      <c r="H425" s="223">
        <f t="shared" si="352"/>
        <v>2012</v>
      </c>
      <c r="I425" s="224" t="s">
        <v>1715</v>
      </c>
      <c r="J425" s="213">
        <v>68628</v>
      </c>
      <c r="K425" s="213">
        <v>0</v>
      </c>
      <c r="L425" s="213">
        <v>68628</v>
      </c>
      <c r="M425" s="213">
        <f t="shared" si="353"/>
        <v>68628</v>
      </c>
      <c r="N425" s="207"/>
      <c r="O425" s="253" t="s">
        <v>1716</v>
      </c>
      <c r="P425" s="230">
        <v>0</v>
      </c>
      <c r="Q425" s="230">
        <v>0</v>
      </c>
      <c r="R425" s="230">
        <v>0</v>
      </c>
      <c r="S425" s="213">
        <f t="shared" si="354"/>
        <v>0</v>
      </c>
      <c r="T425" s="216"/>
      <c r="U425" s="221"/>
      <c r="V425" s="216"/>
      <c r="W425" s="216"/>
      <c r="X425" s="216"/>
      <c r="Y425" s="213">
        <f t="shared" si="355"/>
        <v>0</v>
      </c>
      <c r="Z425" s="222">
        <v>2022</v>
      </c>
      <c r="AA425" s="228"/>
      <c r="AB425" s="218"/>
      <c r="AC425" s="220"/>
      <c r="AD425" s="309" t="s">
        <v>1713</v>
      </c>
      <c r="AE425" s="220" t="str">
        <f t="shared" si="356"/>
        <v/>
      </c>
      <c r="AF425" s="229"/>
      <c r="AG425" s="220" t="str">
        <f t="shared" si="357"/>
        <v>2</v>
      </c>
      <c r="AH425" s="220" t="str">
        <f t="shared" si="358"/>
        <v>1</v>
      </c>
      <c r="AI425" s="220"/>
      <c r="AJ425" s="221" t="str">
        <f t="shared" si="359"/>
        <v>2</v>
      </c>
      <c r="AK425" s="220" t="str">
        <f t="shared" si="360"/>
        <v>2.1..2</v>
      </c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1:61" ht="16.5" customHeight="1" outlineLevel="2">
      <c r="A426" s="207">
        <f t="shared" si="350"/>
        <v>396</v>
      </c>
      <c r="B426" s="207">
        <v>5</v>
      </c>
      <c r="C426" s="208" t="s">
        <v>1717</v>
      </c>
      <c r="D426" s="209">
        <v>8453.523348866509</v>
      </c>
      <c r="E426" s="504" t="s">
        <v>104</v>
      </c>
      <c r="F426" s="213">
        <f t="shared" si="361"/>
        <v>4969.71</v>
      </c>
      <c r="G426" s="207"/>
      <c r="H426" s="223">
        <f t="shared" si="352"/>
        <v>2011</v>
      </c>
      <c r="I426" s="224" t="s">
        <v>795</v>
      </c>
      <c r="J426" s="213">
        <v>4969.71</v>
      </c>
      <c r="K426" s="213">
        <v>0</v>
      </c>
      <c r="L426" s="213">
        <v>4969.71</v>
      </c>
      <c r="M426" s="213">
        <f t="shared" si="353"/>
        <v>4969.71</v>
      </c>
      <c r="N426" s="207"/>
      <c r="O426" s="231"/>
      <c r="P426" s="230"/>
      <c r="Q426" s="230"/>
      <c r="R426" s="230"/>
      <c r="S426" s="213">
        <f t="shared" si="354"/>
        <v>0</v>
      </c>
      <c r="T426" s="216"/>
      <c r="U426" s="207"/>
      <c r="V426" s="216"/>
      <c r="W426" s="216"/>
      <c r="X426" s="216"/>
      <c r="Y426" s="213">
        <f t="shared" si="355"/>
        <v>0</v>
      </c>
      <c r="Z426" s="222" t="s">
        <v>1097</v>
      </c>
      <c r="AA426" s="228"/>
      <c r="AB426" s="218"/>
      <c r="AC426" s="220"/>
      <c r="AD426" s="309" t="s">
        <v>1709</v>
      </c>
      <c r="AE426" s="220" t="str">
        <f t="shared" si="356"/>
        <v/>
      </c>
      <c r="AF426" s="229"/>
      <c r="AG426" s="220" t="str">
        <f t="shared" si="357"/>
        <v>2</v>
      </c>
      <c r="AH426" s="220" t="str">
        <f t="shared" si="358"/>
        <v>1</v>
      </c>
      <c r="AI426" s="220"/>
      <c r="AJ426" s="221" t="str">
        <f t="shared" si="359"/>
        <v>2</v>
      </c>
      <c r="AK426" s="220" t="str">
        <f t="shared" si="360"/>
        <v>2.1..2</v>
      </c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1:61" ht="16.5" customHeight="1" outlineLevel="2">
      <c r="A427" s="207">
        <f t="shared" si="350"/>
        <v>397</v>
      </c>
      <c r="B427" s="207">
        <v>6</v>
      </c>
      <c r="C427" s="208" t="s">
        <v>1718</v>
      </c>
      <c r="D427" s="209">
        <v>32903.252814761399</v>
      </c>
      <c r="E427" s="504" t="s">
        <v>91</v>
      </c>
      <c r="F427" s="213">
        <f>Y427</f>
        <v>31936.86</v>
      </c>
      <c r="G427" s="207"/>
      <c r="H427" s="223">
        <f t="shared" si="352"/>
        <v>2012</v>
      </c>
      <c r="I427" s="224" t="s">
        <v>1256</v>
      </c>
      <c r="J427" s="213">
        <v>33201</v>
      </c>
      <c r="K427" s="213">
        <v>0</v>
      </c>
      <c r="L427" s="213">
        <v>33201</v>
      </c>
      <c r="M427" s="213">
        <f t="shared" si="353"/>
        <v>33201</v>
      </c>
      <c r="N427" s="207"/>
      <c r="O427" s="512" t="s">
        <v>1719</v>
      </c>
      <c r="P427" s="230">
        <v>0</v>
      </c>
      <c r="Q427" s="230">
        <v>0</v>
      </c>
      <c r="R427" s="230">
        <v>0</v>
      </c>
      <c r="S427" s="213">
        <f t="shared" si="354"/>
        <v>0</v>
      </c>
      <c r="T427" s="216" t="s">
        <v>1076</v>
      </c>
      <c r="U427" s="517" t="s">
        <v>797</v>
      </c>
      <c r="V427" s="232">
        <v>30077.5</v>
      </c>
      <c r="W427" s="232">
        <v>1859.36</v>
      </c>
      <c r="X427" s="232">
        <f>V427+W427</f>
        <v>31936.86</v>
      </c>
      <c r="Y427" s="213">
        <f t="shared" si="355"/>
        <v>31936.86</v>
      </c>
      <c r="Z427" s="222">
        <v>2022</v>
      </c>
      <c r="AA427" s="228"/>
      <c r="AB427" s="218"/>
      <c r="AC427" s="220"/>
      <c r="AD427" s="309" t="s">
        <v>1709</v>
      </c>
      <c r="AE427" s="220" t="str">
        <f t="shared" si="356"/>
        <v>V</v>
      </c>
      <c r="AF427" s="229"/>
      <c r="AG427" s="220" t="str">
        <f t="shared" si="357"/>
        <v>2</v>
      </c>
      <c r="AH427" s="220" t="str">
        <f t="shared" si="358"/>
        <v>1</v>
      </c>
      <c r="AI427" s="220"/>
      <c r="AJ427" s="221" t="str">
        <f t="shared" si="359"/>
        <v>1</v>
      </c>
      <c r="AK427" s="220" t="str">
        <f t="shared" si="360"/>
        <v>2.1..1</v>
      </c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1:61" ht="16.5" customHeight="1" outlineLevel="2">
      <c r="A428" s="207">
        <f t="shared" si="350"/>
        <v>398</v>
      </c>
      <c r="B428" s="207">
        <v>7</v>
      </c>
      <c r="C428" s="208" t="s">
        <v>1720</v>
      </c>
      <c r="D428" s="209">
        <v>25995.74387382108</v>
      </c>
      <c r="E428" s="504" t="s">
        <v>91</v>
      </c>
      <c r="F428" s="213">
        <f t="shared" ref="F428:F431" si="362">IF(M428&gt;0,M428,IF(S428&gt;0,S428,IF(Y428&gt;0,Y428,0)))</f>
        <v>25098</v>
      </c>
      <c r="G428" s="227" t="s">
        <v>1076</v>
      </c>
      <c r="H428" s="223">
        <f t="shared" si="352"/>
        <v>2022</v>
      </c>
      <c r="I428" s="224" t="s">
        <v>799</v>
      </c>
      <c r="J428" s="213"/>
      <c r="K428" s="213">
        <v>0</v>
      </c>
      <c r="L428" s="213">
        <v>25098</v>
      </c>
      <c r="M428" s="213">
        <f t="shared" si="353"/>
        <v>25098</v>
      </c>
      <c r="N428" s="207"/>
      <c r="O428" s="512" t="s">
        <v>1721</v>
      </c>
      <c r="P428" s="230">
        <v>0</v>
      </c>
      <c r="Q428" s="230">
        <v>0</v>
      </c>
      <c r="R428" s="230">
        <v>0</v>
      </c>
      <c r="S428" s="213">
        <f t="shared" si="354"/>
        <v>0</v>
      </c>
      <c r="T428" s="216"/>
      <c r="U428" s="221"/>
      <c r="V428" s="216"/>
      <c r="W428" s="216"/>
      <c r="X428" s="216"/>
      <c r="Y428" s="213">
        <f t="shared" si="355"/>
        <v>0</v>
      </c>
      <c r="Z428" s="222">
        <v>2020</v>
      </c>
      <c r="AA428" s="228"/>
      <c r="AB428" s="218"/>
      <c r="AC428" s="220"/>
      <c r="AD428" s="309" t="s">
        <v>1722</v>
      </c>
      <c r="AE428" s="220" t="str">
        <f t="shared" si="356"/>
        <v>V</v>
      </c>
      <c r="AF428" s="229"/>
      <c r="AG428" s="220" t="str">
        <f t="shared" si="357"/>
        <v>1</v>
      </c>
      <c r="AH428" s="220" t="str">
        <f t="shared" si="358"/>
        <v>1</v>
      </c>
      <c r="AI428" s="220"/>
      <c r="AJ428" s="221" t="str">
        <f t="shared" si="359"/>
        <v>2</v>
      </c>
      <c r="AK428" s="220" t="str">
        <f t="shared" si="360"/>
        <v>1.1..2</v>
      </c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1:61" ht="16.5" customHeight="1" outlineLevel="2">
      <c r="A429" s="207">
        <f t="shared" si="350"/>
        <v>399</v>
      </c>
      <c r="B429" s="207">
        <v>8</v>
      </c>
      <c r="C429" s="208" t="s">
        <v>1723</v>
      </c>
      <c r="D429" s="209">
        <v>1808.8280023108123</v>
      </c>
      <c r="E429" s="504" t="s">
        <v>104</v>
      </c>
      <c r="F429" s="213">
        <f t="shared" si="362"/>
        <v>3583</v>
      </c>
      <c r="G429" s="207"/>
      <c r="H429" s="223">
        <f t="shared" si="352"/>
        <v>2012</v>
      </c>
      <c r="I429" s="224" t="s">
        <v>801</v>
      </c>
      <c r="J429" s="213">
        <v>3583</v>
      </c>
      <c r="K429" s="213">
        <v>0</v>
      </c>
      <c r="L429" s="213">
        <v>3583</v>
      </c>
      <c r="M429" s="213">
        <f t="shared" si="353"/>
        <v>3583</v>
      </c>
      <c r="N429" s="207"/>
      <c r="O429" s="231"/>
      <c r="P429" s="230"/>
      <c r="Q429" s="230"/>
      <c r="R429" s="230"/>
      <c r="S429" s="213">
        <f t="shared" si="354"/>
        <v>0</v>
      </c>
      <c r="T429" s="216"/>
      <c r="U429" s="207"/>
      <c r="V429" s="216"/>
      <c r="W429" s="216"/>
      <c r="X429" s="216"/>
      <c r="Y429" s="213">
        <f t="shared" si="355"/>
        <v>0</v>
      </c>
      <c r="Z429" s="222" t="s">
        <v>1097</v>
      </c>
      <c r="AA429" s="228"/>
      <c r="AB429" s="218"/>
      <c r="AC429" s="220"/>
      <c r="AD429" s="309" t="s">
        <v>1709</v>
      </c>
      <c r="AE429" s="220" t="str">
        <f t="shared" si="356"/>
        <v/>
      </c>
      <c r="AF429" s="229"/>
      <c r="AG429" s="220" t="str">
        <f t="shared" si="357"/>
        <v>2</v>
      </c>
      <c r="AH429" s="220" t="str">
        <f t="shared" si="358"/>
        <v>1</v>
      </c>
      <c r="AI429" s="220"/>
      <c r="AJ429" s="221" t="str">
        <f t="shared" si="359"/>
        <v>2</v>
      </c>
      <c r="AK429" s="220" t="str">
        <f t="shared" si="360"/>
        <v>2.1..2</v>
      </c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1:61" ht="16.5" customHeight="1" outlineLevel="2">
      <c r="A430" s="207">
        <f t="shared" si="350"/>
        <v>400</v>
      </c>
      <c r="B430" s="207">
        <v>9</v>
      </c>
      <c r="C430" s="208" t="s">
        <v>1724</v>
      </c>
      <c r="D430" s="209">
        <v>2035.3319146628191</v>
      </c>
      <c r="E430" s="504" t="s">
        <v>661</v>
      </c>
      <c r="F430" s="213">
        <f t="shared" si="362"/>
        <v>0</v>
      </c>
      <c r="G430" s="207"/>
      <c r="H430" s="281" t="e">
        <f t="shared" si="352"/>
        <v>#VALUE!</v>
      </c>
      <c r="I430" s="212"/>
      <c r="J430" s="213"/>
      <c r="K430" s="213"/>
      <c r="L430" s="213"/>
      <c r="M430" s="213">
        <f t="shared" si="353"/>
        <v>0</v>
      </c>
      <c r="N430" s="207"/>
      <c r="O430" s="231"/>
      <c r="P430" s="230"/>
      <c r="Q430" s="230"/>
      <c r="R430" s="230"/>
      <c r="S430" s="213">
        <f t="shared" si="354"/>
        <v>0</v>
      </c>
      <c r="T430" s="216"/>
      <c r="U430" s="207"/>
      <c r="V430" s="216"/>
      <c r="W430" s="216"/>
      <c r="X430" s="216"/>
      <c r="Y430" s="213">
        <f t="shared" si="355"/>
        <v>0</v>
      </c>
      <c r="Z430" s="222" t="s">
        <v>1669</v>
      </c>
      <c r="AA430" s="228"/>
      <c r="AB430" s="218"/>
      <c r="AC430" s="220"/>
      <c r="AD430" s="309" t="s">
        <v>1725</v>
      </c>
      <c r="AE430" s="220" t="str">
        <f t="shared" si="356"/>
        <v/>
      </c>
      <c r="AF430" s="229"/>
      <c r="AG430" s="220" t="e">
        <f t="shared" si="357"/>
        <v>#VALUE!</v>
      </c>
      <c r="AH430" s="220" t="str">
        <f t="shared" si="358"/>
        <v>2</v>
      </c>
      <c r="AI430" s="220"/>
      <c r="AJ430" s="221" t="str">
        <f t="shared" si="359"/>
        <v>2</v>
      </c>
      <c r="AK430" s="220" t="e">
        <f t="shared" si="360"/>
        <v>#VALUE!</v>
      </c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1:61" ht="16.5" customHeight="1" outlineLevel="2">
      <c r="A431" s="207">
        <f t="shared" si="350"/>
        <v>401</v>
      </c>
      <c r="B431" s="207">
        <v>10</v>
      </c>
      <c r="C431" s="208" t="s">
        <v>1726</v>
      </c>
      <c r="D431" s="209">
        <v>1569.7954295671573</v>
      </c>
      <c r="E431" s="504" t="s">
        <v>91</v>
      </c>
      <c r="F431" s="213">
        <f t="shared" si="362"/>
        <v>919</v>
      </c>
      <c r="G431" s="522" t="s">
        <v>1076</v>
      </c>
      <c r="H431" s="310">
        <f t="shared" si="352"/>
        <v>2022</v>
      </c>
      <c r="I431" s="523" t="s">
        <v>159</v>
      </c>
      <c r="J431" s="311"/>
      <c r="K431" s="311"/>
      <c r="L431" s="311">
        <v>919</v>
      </c>
      <c r="M431" s="213">
        <f t="shared" si="353"/>
        <v>919</v>
      </c>
      <c r="N431" s="227" t="s">
        <v>1076</v>
      </c>
      <c r="O431" s="231" t="s">
        <v>805</v>
      </c>
      <c r="P431" s="230">
        <v>1092.9100000000001</v>
      </c>
      <c r="Q431" s="230">
        <v>214.3</v>
      </c>
      <c r="R431" s="230">
        <v>1346.7200000000003</v>
      </c>
      <c r="S431" s="213">
        <f t="shared" si="354"/>
        <v>1346.7200000000003</v>
      </c>
      <c r="T431" s="216"/>
      <c r="U431" s="207"/>
      <c r="V431" s="216"/>
      <c r="W431" s="216"/>
      <c r="X431" s="216"/>
      <c r="Y431" s="213">
        <f t="shared" si="355"/>
        <v>0</v>
      </c>
      <c r="Z431" s="222">
        <v>2020</v>
      </c>
      <c r="AA431" s="228"/>
      <c r="AB431" s="218"/>
      <c r="AC431" s="220"/>
      <c r="AD431" s="309" t="s">
        <v>1722</v>
      </c>
      <c r="AE431" s="220" t="str">
        <f t="shared" si="356"/>
        <v>VV</v>
      </c>
      <c r="AF431" s="229"/>
      <c r="AG431" s="220" t="str">
        <f t="shared" si="357"/>
        <v>1</v>
      </c>
      <c r="AH431" s="220" t="str">
        <f t="shared" si="358"/>
        <v>1</v>
      </c>
      <c r="AI431" s="220"/>
      <c r="AJ431" s="221" t="str">
        <f t="shared" si="359"/>
        <v>1</v>
      </c>
      <c r="AK431" s="220" t="str">
        <f t="shared" si="360"/>
        <v>1.1..1</v>
      </c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1:61" ht="16.5" customHeight="1" outlineLevel="2">
      <c r="A432" s="207">
        <f t="shared" si="350"/>
        <v>402</v>
      </c>
      <c r="B432" s="207">
        <v>11</v>
      </c>
      <c r="C432" s="208" t="s">
        <v>1727</v>
      </c>
      <c r="D432" s="209">
        <v>865.38144529535646</v>
      </c>
      <c r="E432" s="504" t="s">
        <v>91</v>
      </c>
      <c r="F432" s="213">
        <f>S432</f>
        <v>305.07</v>
      </c>
      <c r="G432" s="207"/>
      <c r="H432" s="281">
        <f t="shared" si="352"/>
        <v>2021</v>
      </c>
      <c r="I432" s="212" t="s">
        <v>149</v>
      </c>
      <c r="J432" s="213">
        <v>0</v>
      </c>
      <c r="K432" s="213">
        <v>0</v>
      </c>
      <c r="L432" s="213">
        <v>306</v>
      </c>
      <c r="M432" s="213">
        <f t="shared" si="353"/>
        <v>306</v>
      </c>
      <c r="N432" s="207" t="s">
        <v>1076</v>
      </c>
      <c r="O432" s="253" t="s">
        <v>1485</v>
      </c>
      <c r="P432" s="230">
        <v>305.07</v>
      </c>
      <c r="Q432" s="230">
        <v>0</v>
      </c>
      <c r="R432" s="230">
        <v>0</v>
      </c>
      <c r="S432" s="213">
        <f t="shared" si="354"/>
        <v>305.07</v>
      </c>
      <c r="T432" s="216"/>
      <c r="U432" s="221"/>
      <c r="V432" s="216"/>
      <c r="W432" s="216"/>
      <c r="X432" s="216"/>
      <c r="Y432" s="213">
        <f t="shared" si="355"/>
        <v>0</v>
      </c>
      <c r="Z432" s="222" t="s">
        <v>1097</v>
      </c>
      <c r="AA432" s="228"/>
      <c r="AB432" s="218"/>
      <c r="AC432" s="220"/>
      <c r="AD432" s="309" t="s">
        <v>1722</v>
      </c>
      <c r="AE432" s="220" t="str">
        <f t="shared" si="356"/>
        <v>V</v>
      </c>
      <c r="AF432" s="229"/>
      <c r="AG432" s="220" t="str">
        <f t="shared" si="357"/>
        <v>1</v>
      </c>
      <c r="AH432" s="220" t="str">
        <f t="shared" si="358"/>
        <v>1</v>
      </c>
      <c r="AI432" s="220"/>
      <c r="AJ432" s="221" t="str">
        <f t="shared" si="359"/>
        <v>1</v>
      </c>
      <c r="AK432" s="220" t="str">
        <f t="shared" si="360"/>
        <v>1.1..1</v>
      </c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1:61" ht="16.5" customHeight="1" outlineLevel="2">
      <c r="A433" s="207">
        <f t="shared" si="350"/>
        <v>403</v>
      </c>
      <c r="B433" s="207">
        <v>12</v>
      </c>
      <c r="C433" s="208" t="s">
        <v>1728</v>
      </c>
      <c r="D433" s="209">
        <v>30655.024348713094</v>
      </c>
      <c r="E433" s="504" t="s">
        <v>104</v>
      </c>
      <c r="F433" s="213">
        <f t="shared" ref="F433:F437" si="363">IF(M433&gt;0,M433,IF(S433&gt;0,S433,IF(Y433&gt;0,Y433,0)))</f>
        <v>25516</v>
      </c>
      <c r="G433" s="207"/>
      <c r="H433" s="281">
        <f t="shared" si="352"/>
        <v>2011</v>
      </c>
      <c r="I433" s="212" t="s">
        <v>1431</v>
      </c>
      <c r="J433" s="213">
        <v>25516</v>
      </c>
      <c r="K433" s="213">
        <v>0</v>
      </c>
      <c r="L433" s="213">
        <v>25516</v>
      </c>
      <c r="M433" s="213">
        <f t="shared" si="353"/>
        <v>25516</v>
      </c>
      <c r="N433" s="207"/>
      <c r="O433" s="253" t="s">
        <v>1729</v>
      </c>
      <c r="P433" s="230">
        <v>0</v>
      </c>
      <c r="Q433" s="230">
        <v>0</v>
      </c>
      <c r="R433" s="230">
        <v>0</v>
      </c>
      <c r="S433" s="213">
        <f t="shared" si="354"/>
        <v>0</v>
      </c>
      <c r="T433" s="216"/>
      <c r="U433" s="221"/>
      <c r="V433" s="216"/>
      <c r="W433" s="216"/>
      <c r="X433" s="216"/>
      <c r="Y433" s="213">
        <f t="shared" si="355"/>
        <v>0</v>
      </c>
      <c r="Z433" s="222">
        <v>2023</v>
      </c>
      <c r="AA433" s="228" t="s">
        <v>1160</v>
      </c>
      <c r="AB433" s="218"/>
      <c r="AC433" s="220"/>
      <c r="AD433" s="309" t="s">
        <v>1709</v>
      </c>
      <c r="AE433" s="220" t="str">
        <f t="shared" si="356"/>
        <v/>
      </c>
      <c r="AF433" s="229"/>
      <c r="AG433" s="220" t="str">
        <f t="shared" si="357"/>
        <v>2</v>
      </c>
      <c r="AH433" s="220" t="str">
        <f t="shared" si="358"/>
        <v>1</v>
      </c>
      <c r="AI433" s="220"/>
      <c r="AJ433" s="221" t="str">
        <f t="shared" si="359"/>
        <v>2</v>
      </c>
      <c r="AK433" s="220" t="str">
        <f t="shared" si="360"/>
        <v>2.1..2</v>
      </c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1:61" ht="16.5" customHeight="1" outlineLevel="2">
      <c r="A434" s="207">
        <f t="shared" si="350"/>
        <v>404</v>
      </c>
      <c r="B434" s="207">
        <v>13</v>
      </c>
      <c r="C434" s="208" t="s">
        <v>1730</v>
      </c>
      <c r="D434" s="209">
        <v>23394.354736221489</v>
      </c>
      <c r="E434" s="504" t="s">
        <v>104</v>
      </c>
      <c r="F434" s="213">
        <f t="shared" si="363"/>
        <v>20314</v>
      </c>
      <c r="G434" s="207"/>
      <c r="H434" s="281">
        <f t="shared" si="352"/>
        <v>2011</v>
      </c>
      <c r="I434" s="212" t="s">
        <v>932</v>
      </c>
      <c r="J434" s="213">
        <v>20314</v>
      </c>
      <c r="K434" s="213">
        <v>0</v>
      </c>
      <c r="L434" s="213">
        <v>20314</v>
      </c>
      <c r="M434" s="213">
        <f t="shared" si="353"/>
        <v>20314</v>
      </c>
      <c r="N434" s="207"/>
      <c r="O434" s="253" t="s">
        <v>1731</v>
      </c>
      <c r="P434" s="230">
        <v>20314</v>
      </c>
      <c r="Q434" s="230">
        <v>0</v>
      </c>
      <c r="R434" s="230">
        <v>20314</v>
      </c>
      <c r="S434" s="213">
        <f t="shared" si="354"/>
        <v>20314</v>
      </c>
      <c r="T434" s="216"/>
      <c r="U434" s="221"/>
      <c r="V434" s="216"/>
      <c r="W434" s="216"/>
      <c r="X434" s="216"/>
      <c r="Y434" s="213">
        <f t="shared" si="355"/>
        <v>0</v>
      </c>
      <c r="Z434" s="222" t="s">
        <v>1347</v>
      </c>
      <c r="AA434" s="228"/>
      <c r="AB434" s="218"/>
      <c r="AC434" s="220"/>
      <c r="AD434" s="309" t="s">
        <v>1713</v>
      </c>
      <c r="AE434" s="220" t="str">
        <f t="shared" si="356"/>
        <v/>
      </c>
      <c r="AF434" s="229"/>
      <c r="AG434" s="220" t="str">
        <f t="shared" si="357"/>
        <v>2</v>
      </c>
      <c r="AH434" s="220" t="str">
        <f t="shared" si="358"/>
        <v>1</v>
      </c>
      <c r="AI434" s="220"/>
      <c r="AJ434" s="221" t="str">
        <f t="shared" si="359"/>
        <v>1</v>
      </c>
      <c r="AK434" s="220" t="str">
        <f t="shared" si="360"/>
        <v>2.1..1</v>
      </c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1:61" ht="16.5" customHeight="1" outlineLevel="2">
      <c r="A435" s="207">
        <f t="shared" si="350"/>
        <v>405</v>
      </c>
      <c r="B435" s="207">
        <v>14</v>
      </c>
      <c r="C435" s="208" t="s">
        <v>1732</v>
      </c>
      <c r="D435" s="209">
        <v>27873.692403114921</v>
      </c>
      <c r="E435" s="504" t="s">
        <v>91</v>
      </c>
      <c r="F435" s="213">
        <f t="shared" si="363"/>
        <v>21991.11</v>
      </c>
      <c r="G435" s="207"/>
      <c r="H435" s="281" t="e">
        <f t="shared" si="352"/>
        <v>#VALUE!</v>
      </c>
      <c r="I435" s="212"/>
      <c r="J435" s="213"/>
      <c r="K435" s="213"/>
      <c r="L435" s="213"/>
      <c r="M435" s="213">
        <f t="shared" si="353"/>
        <v>0</v>
      </c>
      <c r="N435" s="207"/>
      <c r="O435" s="253"/>
      <c r="P435" s="230"/>
      <c r="Q435" s="230"/>
      <c r="R435" s="230"/>
      <c r="S435" s="213">
        <f t="shared" si="354"/>
        <v>0</v>
      </c>
      <c r="T435" s="216" t="s">
        <v>1076</v>
      </c>
      <c r="U435" s="521" t="s">
        <v>1733</v>
      </c>
      <c r="V435" s="216">
        <v>21655.56</v>
      </c>
      <c r="W435" s="216">
        <v>335.56</v>
      </c>
      <c r="X435" s="216">
        <v>21991.11</v>
      </c>
      <c r="Y435" s="213">
        <f t="shared" si="355"/>
        <v>21991.11</v>
      </c>
      <c r="Z435" s="222">
        <v>2022</v>
      </c>
      <c r="AA435" s="228"/>
      <c r="AB435" s="218"/>
      <c r="AC435" s="220"/>
      <c r="AD435" s="309" t="s">
        <v>1734</v>
      </c>
      <c r="AE435" s="220" t="str">
        <f t="shared" si="356"/>
        <v>V</v>
      </c>
      <c r="AF435" s="229"/>
      <c r="AG435" s="220" t="e">
        <f t="shared" si="357"/>
        <v>#VALUE!</v>
      </c>
      <c r="AH435" s="220" t="str">
        <f t="shared" si="358"/>
        <v>2</v>
      </c>
      <c r="AI435" s="220"/>
      <c r="AJ435" s="221" t="str">
        <f t="shared" si="359"/>
        <v>1</v>
      </c>
      <c r="AK435" s="220" t="e">
        <f t="shared" si="360"/>
        <v>#VALUE!</v>
      </c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1:61" ht="16.5" customHeight="1" outlineLevel="2">
      <c r="A436" s="207">
        <f t="shared" si="350"/>
        <v>406</v>
      </c>
      <c r="B436" s="207">
        <v>15</v>
      </c>
      <c r="C436" s="208" t="s">
        <v>1735</v>
      </c>
      <c r="D436" s="209">
        <v>26204.579415244989</v>
      </c>
      <c r="E436" s="504" t="s">
        <v>104</v>
      </c>
      <c r="F436" s="213">
        <f t="shared" si="363"/>
        <v>20222</v>
      </c>
      <c r="G436" s="207"/>
      <c r="H436" s="281">
        <f t="shared" si="352"/>
        <v>2012</v>
      </c>
      <c r="I436" s="212" t="s">
        <v>432</v>
      </c>
      <c r="J436" s="213">
        <v>20222</v>
      </c>
      <c r="K436" s="213">
        <v>0</v>
      </c>
      <c r="L436" s="213">
        <v>20222</v>
      </c>
      <c r="M436" s="213">
        <f t="shared" si="353"/>
        <v>20222</v>
      </c>
      <c r="N436" s="207"/>
      <c r="O436" s="253" t="s">
        <v>1532</v>
      </c>
      <c r="P436" s="230">
        <v>0</v>
      </c>
      <c r="Q436" s="230">
        <v>0</v>
      </c>
      <c r="R436" s="230">
        <v>0</v>
      </c>
      <c r="S436" s="213">
        <f t="shared" si="354"/>
        <v>0</v>
      </c>
      <c r="T436" s="216"/>
      <c r="U436" s="221"/>
      <c r="V436" s="216"/>
      <c r="W436" s="216"/>
      <c r="X436" s="216"/>
      <c r="Y436" s="213">
        <f t="shared" si="355"/>
        <v>0</v>
      </c>
      <c r="Z436" s="222">
        <v>2023</v>
      </c>
      <c r="AA436" s="228" t="s">
        <v>1160</v>
      </c>
      <c r="AB436" s="218"/>
      <c r="AC436" s="220"/>
      <c r="AD436" s="309" t="s">
        <v>1709</v>
      </c>
      <c r="AE436" s="220" t="str">
        <f t="shared" si="356"/>
        <v/>
      </c>
      <c r="AF436" s="229"/>
      <c r="AG436" s="220" t="str">
        <f t="shared" si="357"/>
        <v>2</v>
      </c>
      <c r="AH436" s="220" t="str">
        <f t="shared" si="358"/>
        <v>1</v>
      </c>
      <c r="AI436" s="220"/>
      <c r="AJ436" s="221" t="str">
        <f t="shared" si="359"/>
        <v>2</v>
      </c>
      <c r="AK436" s="220" t="str">
        <f t="shared" si="360"/>
        <v>2.1..2</v>
      </c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1:61" ht="16.5" customHeight="1" outlineLevel="2">
      <c r="A437" s="207">
        <f t="shared" si="350"/>
        <v>407</v>
      </c>
      <c r="B437" s="207">
        <v>16</v>
      </c>
      <c r="C437" s="208" t="s">
        <v>1736</v>
      </c>
      <c r="D437" s="209">
        <v>16819.369016365061</v>
      </c>
      <c r="E437" s="504" t="s">
        <v>104</v>
      </c>
      <c r="F437" s="213">
        <f t="shared" si="363"/>
        <v>14934</v>
      </c>
      <c r="G437" s="207"/>
      <c r="H437" s="281">
        <f t="shared" si="352"/>
        <v>2012</v>
      </c>
      <c r="I437" s="212" t="s">
        <v>223</v>
      </c>
      <c r="J437" s="213">
        <v>14934</v>
      </c>
      <c r="K437" s="213">
        <v>0</v>
      </c>
      <c r="L437" s="213">
        <v>14934</v>
      </c>
      <c r="M437" s="213">
        <f t="shared" si="353"/>
        <v>14934</v>
      </c>
      <c r="N437" s="207"/>
      <c r="O437" s="253" t="s">
        <v>1737</v>
      </c>
      <c r="P437" s="230">
        <v>0</v>
      </c>
      <c r="Q437" s="230">
        <v>0</v>
      </c>
      <c r="R437" s="230">
        <v>0</v>
      </c>
      <c r="S437" s="213">
        <f t="shared" si="354"/>
        <v>0</v>
      </c>
      <c r="T437" s="216"/>
      <c r="U437" s="221"/>
      <c r="V437" s="216"/>
      <c r="W437" s="216"/>
      <c r="X437" s="216"/>
      <c r="Y437" s="213">
        <f t="shared" si="355"/>
        <v>0</v>
      </c>
      <c r="Z437" s="222">
        <v>2022</v>
      </c>
      <c r="AA437" s="228"/>
      <c r="AB437" s="218"/>
      <c r="AC437" s="220"/>
      <c r="AD437" s="309" t="s">
        <v>1709</v>
      </c>
      <c r="AE437" s="220" t="str">
        <f t="shared" si="356"/>
        <v/>
      </c>
      <c r="AF437" s="229"/>
      <c r="AG437" s="220" t="str">
        <f t="shared" si="357"/>
        <v>2</v>
      </c>
      <c r="AH437" s="220" t="str">
        <f t="shared" si="358"/>
        <v>1</v>
      </c>
      <c r="AI437" s="220"/>
      <c r="AJ437" s="221" t="str">
        <f t="shared" si="359"/>
        <v>2</v>
      </c>
      <c r="AK437" s="220" t="str">
        <f t="shared" si="360"/>
        <v>2.1..2</v>
      </c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1:61" ht="16.5" customHeight="1" outlineLevel="2">
      <c r="A438" s="207">
        <f t="shared" si="350"/>
        <v>408</v>
      </c>
      <c r="B438" s="207">
        <v>17</v>
      </c>
      <c r="C438" s="208" t="s">
        <v>1738</v>
      </c>
      <c r="D438" s="209">
        <v>48810.775403389365</v>
      </c>
      <c r="E438" s="504" t="s">
        <v>91</v>
      </c>
      <c r="F438" s="213">
        <f t="shared" ref="F438:F439" si="364">Y438</f>
        <v>40461</v>
      </c>
      <c r="G438" s="207"/>
      <c r="H438" s="281">
        <f t="shared" si="352"/>
        <v>2012</v>
      </c>
      <c r="I438" s="212" t="s">
        <v>527</v>
      </c>
      <c r="J438" s="213">
        <v>44861</v>
      </c>
      <c r="K438" s="213">
        <v>0</v>
      </c>
      <c r="L438" s="213">
        <v>44861</v>
      </c>
      <c r="M438" s="213">
        <f t="shared" si="353"/>
        <v>44861</v>
      </c>
      <c r="N438" s="207"/>
      <c r="O438" s="231"/>
      <c r="P438" s="230"/>
      <c r="Q438" s="230"/>
      <c r="R438" s="230"/>
      <c r="S438" s="213">
        <f t="shared" si="354"/>
        <v>0</v>
      </c>
      <c r="T438" s="216" t="s">
        <v>1076</v>
      </c>
      <c r="U438" s="507" t="s">
        <v>816</v>
      </c>
      <c r="V438" s="232">
        <v>40461</v>
      </c>
      <c r="W438" s="233">
        <v>5446.92</v>
      </c>
      <c r="X438" s="216"/>
      <c r="Y438" s="213">
        <f t="shared" si="355"/>
        <v>40461</v>
      </c>
      <c r="Z438" s="222">
        <v>2022</v>
      </c>
      <c r="AA438" s="228"/>
      <c r="AB438" s="218"/>
      <c r="AC438" s="220"/>
      <c r="AD438" s="309" t="s">
        <v>1713</v>
      </c>
      <c r="AE438" s="220" t="str">
        <f t="shared" si="356"/>
        <v>V</v>
      </c>
      <c r="AF438" s="229"/>
      <c r="AG438" s="220" t="str">
        <f t="shared" si="357"/>
        <v>2</v>
      </c>
      <c r="AH438" s="220" t="str">
        <f t="shared" si="358"/>
        <v>1</v>
      </c>
      <c r="AI438" s="220"/>
      <c r="AJ438" s="221" t="str">
        <f t="shared" si="359"/>
        <v>1</v>
      </c>
      <c r="AK438" s="220" t="str">
        <f t="shared" si="360"/>
        <v>2.1..1</v>
      </c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1:61" ht="16.5" customHeight="1" outlineLevel="2">
      <c r="A439" s="207">
        <f t="shared" si="350"/>
        <v>409</v>
      </c>
      <c r="B439" s="207">
        <v>18</v>
      </c>
      <c r="C439" s="208" t="s">
        <v>1739</v>
      </c>
      <c r="D439" s="209">
        <v>48830.979374159411</v>
      </c>
      <c r="E439" s="504" t="s">
        <v>91</v>
      </c>
      <c r="F439" s="213">
        <f t="shared" si="364"/>
        <v>50678.73</v>
      </c>
      <c r="G439" s="207"/>
      <c r="H439" s="281">
        <f t="shared" si="352"/>
        <v>2012</v>
      </c>
      <c r="I439" s="212" t="s">
        <v>801</v>
      </c>
      <c r="J439" s="213">
        <v>63672</v>
      </c>
      <c r="K439" s="213">
        <v>0</v>
      </c>
      <c r="L439" s="213">
        <v>63672</v>
      </c>
      <c r="M439" s="213">
        <f t="shared" si="353"/>
        <v>63672</v>
      </c>
      <c r="N439" s="207"/>
      <c r="O439" s="253" t="s">
        <v>1740</v>
      </c>
      <c r="P439" s="230">
        <v>63672</v>
      </c>
      <c r="Q439" s="230">
        <v>0</v>
      </c>
      <c r="R439" s="230">
        <v>63672</v>
      </c>
      <c r="S439" s="213">
        <f t="shared" si="354"/>
        <v>63672</v>
      </c>
      <c r="T439" s="216" t="s">
        <v>1076</v>
      </c>
      <c r="U439" s="517" t="s">
        <v>818</v>
      </c>
      <c r="V439" s="216">
        <v>48836.33</v>
      </c>
      <c r="W439" s="216">
        <v>1842.4</v>
      </c>
      <c r="X439" s="216">
        <f>V439+W439</f>
        <v>50678.73</v>
      </c>
      <c r="Y439" s="213">
        <f t="shared" si="355"/>
        <v>50678.73</v>
      </c>
      <c r="Z439" s="222">
        <v>2022</v>
      </c>
      <c r="AA439" s="228"/>
      <c r="AB439" s="218"/>
      <c r="AC439" s="220"/>
      <c r="AD439" s="309" t="s">
        <v>1709</v>
      </c>
      <c r="AE439" s="220" t="str">
        <f t="shared" si="356"/>
        <v>V</v>
      </c>
      <c r="AF439" s="229"/>
      <c r="AG439" s="220" t="str">
        <f t="shared" si="357"/>
        <v>2</v>
      </c>
      <c r="AH439" s="220" t="str">
        <f t="shared" si="358"/>
        <v>1</v>
      </c>
      <c r="AI439" s="220"/>
      <c r="AJ439" s="221" t="str">
        <f t="shared" si="359"/>
        <v>1</v>
      </c>
      <c r="AK439" s="220" t="str">
        <f t="shared" si="360"/>
        <v>2.1..1</v>
      </c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1:61" ht="16.5" customHeight="1" outlineLevel="2">
      <c r="A440" s="207">
        <f t="shared" si="350"/>
        <v>410</v>
      </c>
      <c r="B440" s="207">
        <v>19</v>
      </c>
      <c r="C440" s="208" t="s">
        <v>1741</v>
      </c>
      <c r="D440" s="209">
        <v>16322.332077681125</v>
      </c>
      <c r="E440" s="504" t="s">
        <v>91</v>
      </c>
      <c r="F440" s="213">
        <f t="shared" ref="F440:F441" si="365">IF(M440&gt;0,M440,IF(S440&gt;0,S440,IF(Y440&gt;0,Y440,0)))</f>
        <v>13593</v>
      </c>
      <c r="G440" s="207"/>
      <c r="H440" s="281">
        <f t="shared" si="352"/>
        <v>2012</v>
      </c>
      <c r="I440" s="212" t="s">
        <v>1742</v>
      </c>
      <c r="J440" s="213">
        <v>13593</v>
      </c>
      <c r="K440" s="213">
        <v>0</v>
      </c>
      <c r="L440" s="213">
        <v>13593</v>
      </c>
      <c r="M440" s="213">
        <f t="shared" si="353"/>
        <v>13593</v>
      </c>
      <c r="N440" s="207" t="s">
        <v>1076</v>
      </c>
      <c r="O440" s="253" t="s">
        <v>820</v>
      </c>
      <c r="P440" s="230">
        <v>13593</v>
      </c>
      <c r="Q440" s="230">
        <v>0</v>
      </c>
      <c r="R440" s="230">
        <v>0</v>
      </c>
      <c r="S440" s="213">
        <f t="shared" si="354"/>
        <v>13593</v>
      </c>
      <c r="T440" s="216"/>
      <c r="U440" s="221"/>
      <c r="V440" s="216"/>
      <c r="W440" s="216"/>
      <c r="X440" s="216"/>
      <c r="Y440" s="213">
        <f t="shared" si="355"/>
        <v>0</v>
      </c>
      <c r="Z440" s="222">
        <v>2020</v>
      </c>
      <c r="AA440" s="228"/>
      <c r="AB440" s="218"/>
      <c r="AC440" s="220"/>
      <c r="AD440" s="309" t="s">
        <v>1722</v>
      </c>
      <c r="AE440" s="220" t="str">
        <f t="shared" si="356"/>
        <v>V</v>
      </c>
      <c r="AF440" s="229"/>
      <c r="AG440" s="220" t="str">
        <f t="shared" si="357"/>
        <v>2</v>
      </c>
      <c r="AH440" s="220" t="str">
        <f t="shared" si="358"/>
        <v>1</v>
      </c>
      <c r="AI440" s="220"/>
      <c r="AJ440" s="221" t="str">
        <f t="shared" si="359"/>
        <v>1</v>
      </c>
      <c r="AK440" s="220" t="str">
        <f t="shared" si="360"/>
        <v>2.1..1</v>
      </c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1:61" ht="16.5" customHeight="1" outlineLevel="2">
      <c r="A441" s="207">
        <f t="shared" si="350"/>
        <v>411</v>
      </c>
      <c r="B441" s="207">
        <v>20</v>
      </c>
      <c r="C441" s="208" t="s">
        <v>1743</v>
      </c>
      <c r="D441" s="209">
        <v>28355.11744899302</v>
      </c>
      <c r="E441" s="504" t="s">
        <v>104</v>
      </c>
      <c r="F441" s="213">
        <f t="shared" si="365"/>
        <v>46491</v>
      </c>
      <c r="G441" s="207"/>
      <c r="H441" s="281">
        <f t="shared" si="352"/>
        <v>2012</v>
      </c>
      <c r="I441" s="212" t="s">
        <v>223</v>
      </c>
      <c r="J441" s="213">
        <v>46491</v>
      </c>
      <c r="K441" s="213">
        <v>0</v>
      </c>
      <c r="L441" s="213">
        <v>46491</v>
      </c>
      <c r="M441" s="213">
        <f t="shared" si="353"/>
        <v>46491</v>
      </c>
      <c r="N441" s="207"/>
      <c r="O441" s="231"/>
      <c r="P441" s="230"/>
      <c r="Q441" s="230"/>
      <c r="R441" s="230"/>
      <c r="S441" s="213">
        <f t="shared" si="354"/>
        <v>0</v>
      </c>
      <c r="T441" s="216"/>
      <c r="U441" s="207"/>
      <c r="V441" s="216"/>
      <c r="W441" s="216"/>
      <c r="X441" s="216"/>
      <c r="Y441" s="213">
        <f t="shared" si="355"/>
        <v>0</v>
      </c>
      <c r="Z441" s="222">
        <v>2023</v>
      </c>
      <c r="AA441" s="228" t="s">
        <v>1160</v>
      </c>
      <c r="AB441" s="218"/>
      <c r="AC441" s="220"/>
      <c r="AD441" s="309" t="s">
        <v>1709</v>
      </c>
      <c r="AE441" s="220" t="str">
        <f t="shared" si="356"/>
        <v/>
      </c>
      <c r="AF441" s="229"/>
      <c r="AG441" s="220" t="str">
        <f t="shared" si="357"/>
        <v>2</v>
      </c>
      <c r="AH441" s="220" t="str">
        <f t="shared" si="358"/>
        <v>1</v>
      </c>
      <c r="AI441" s="220"/>
      <c r="AJ441" s="221" t="str">
        <f t="shared" si="359"/>
        <v>2</v>
      </c>
      <c r="AK441" s="220" t="str">
        <f t="shared" si="360"/>
        <v>2.1..2</v>
      </c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1:61" ht="16.5" customHeight="1" outlineLevel="2">
      <c r="A442" s="207">
        <f t="shared" si="350"/>
        <v>412</v>
      </c>
      <c r="B442" s="207">
        <v>21</v>
      </c>
      <c r="C442" s="208" t="s">
        <v>1744</v>
      </c>
      <c r="D442" s="209">
        <v>17182.258027413838</v>
      </c>
      <c r="E442" s="504" t="s">
        <v>91</v>
      </c>
      <c r="F442" s="213">
        <f>Y442</f>
        <v>13184.28</v>
      </c>
      <c r="G442" s="207"/>
      <c r="H442" s="281">
        <f t="shared" si="352"/>
        <v>2012</v>
      </c>
      <c r="I442" s="212" t="s">
        <v>843</v>
      </c>
      <c r="J442" s="213">
        <v>18688</v>
      </c>
      <c r="K442" s="213">
        <v>0</v>
      </c>
      <c r="L442" s="213">
        <v>18688</v>
      </c>
      <c r="M442" s="213">
        <f t="shared" si="353"/>
        <v>18688</v>
      </c>
      <c r="N442" s="207"/>
      <c r="O442" s="231"/>
      <c r="P442" s="230"/>
      <c r="Q442" s="230"/>
      <c r="R442" s="230"/>
      <c r="S442" s="213">
        <f t="shared" si="354"/>
        <v>0</v>
      </c>
      <c r="T442" s="216" t="s">
        <v>1076</v>
      </c>
      <c r="U442" s="507" t="s">
        <v>1745</v>
      </c>
      <c r="V442" s="232">
        <v>13184.28</v>
      </c>
      <c r="W442" s="233">
        <v>3784.68</v>
      </c>
      <c r="X442" s="216"/>
      <c r="Y442" s="213">
        <f t="shared" si="355"/>
        <v>13184.28</v>
      </c>
      <c r="Z442" s="222">
        <v>2022</v>
      </c>
      <c r="AA442" s="228"/>
      <c r="AB442" s="218"/>
      <c r="AC442" s="220"/>
      <c r="AD442" s="309" t="s">
        <v>1709</v>
      </c>
      <c r="AE442" s="220" t="str">
        <f t="shared" si="356"/>
        <v>V</v>
      </c>
      <c r="AF442" s="229"/>
      <c r="AG442" s="220" t="str">
        <f t="shared" si="357"/>
        <v>2</v>
      </c>
      <c r="AH442" s="220" t="str">
        <f t="shared" si="358"/>
        <v>1</v>
      </c>
      <c r="AI442" s="220"/>
      <c r="AJ442" s="221" t="str">
        <f t="shared" si="359"/>
        <v>1</v>
      </c>
      <c r="AK442" s="220" t="str">
        <f t="shared" si="360"/>
        <v>2.1..1</v>
      </c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1:61" ht="16.5" customHeight="1" outlineLevel="2">
      <c r="A443" s="207">
        <f t="shared" si="350"/>
        <v>413</v>
      </c>
      <c r="B443" s="207">
        <v>22</v>
      </c>
      <c r="C443" s="208" t="s">
        <v>1746</v>
      </c>
      <c r="D443" s="209">
        <v>14392.265329278842</v>
      </c>
      <c r="E443" s="504" t="s">
        <v>104</v>
      </c>
      <c r="F443" s="213">
        <f t="shared" ref="F443:F444" si="366">IF(M443&gt;0,M443,IF(S443&gt;0,S443,IF(Y443&gt;0,Y443,0)))</f>
        <v>10960</v>
      </c>
      <c r="G443" s="207"/>
      <c r="H443" s="281">
        <f t="shared" si="352"/>
        <v>2011</v>
      </c>
      <c r="I443" s="212" t="s">
        <v>405</v>
      </c>
      <c r="J443" s="213">
        <v>10960</v>
      </c>
      <c r="K443" s="213">
        <v>0</v>
      </c>
      <c r="L443" s="213">
        <v>10960</v>
      </c>
      <c r="M443" s="213">
        <f t="shared" si="353"/>
        <v>10960</v>
      </c>
      <c r="N443" s="207"/>
      <c r="O443" s="231"/>
      <c r="P443" s="230"/>
      <c r="Q443" s="230"/>
      <c r="R443" s="230"/>
      <c r="S443" s="213">
        <f t="shared" si="354"/>
        <v>0</v>
      </c>
      <c r="T443" s="216"/>
      <c r="U443" s="207"/>
      <c r="V443" s="216"/>
      <c r="W443" s="216"/>
      <c r="X443" s="216"/>
      <c r="Y443" s="213">
        <f t="shared" si="355"/>
        <v>0</v>
      </c>
      <c r="Z443" s="222" t="s">
        <v>1129</v>
      </c>
      <c r="AA443" s="228" t="s">
        <v>1090</v>
      </c>
      <c r="AB443" s="218"/>
      <c r="AC443" s="220"/>
      <c r="AD443" s="309" t="s">
        <v>1709</v>
      </c>
      <c r="AE443" s="220" t="str">
        <f t="shared" si="356"/>
        <v/>
      </c>
      <c r="AF443" s="229"/>
      <c r="AG443" s="220" t="str">
        <f t="shared" si="357"/>
        <v>2</v>
      </c>
      <c r="AH443" s="220" t="str">
        <f t="shared" si="358"/>
        <v>1</v>
      </c>
      <c r="AI443" s="220"/>
      <c r="AJ443" s="221" t="str">
        <f t="shared" si="359"/>
        <v>2</v>
      </c>
      <c r="AK443" s="220" t="str">
        <f t="shared" si="360"/>
        <v>2.1..2</v>
      </c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1:61" ht="16.5" customHeight="1" outlineLevel="2">
      <c r="A444" s="207">
        <f t="shared" si="350"/>
        <v>414</v>
      </c>
      <c r="B444" s="207">
        <v>23</v>
      </c>
      <c r="C444" s="208" t="s">
        <v>1747</v>
      </c>
      <c r="D444" s="209">
        <v>16047.261856132274</v>
      </c>
      <c r="E444" s="504" t="s">
        <v>104</v>
      </c>
      <c r="F444" s="213">
        <f t="shared" si="366"/>
        <v>0</v>
      </c>
      <c r="G444" s="207"/>
      <c r="H444" s="281" t="e">
        <f t="shared" si="352"/>
        <v>#VALUE!</v>
      </c>
      <c r="I444" s="212"/>
      <c r="J444" s="213"/>
      <c r="K444" s="213"/>
      <c r="L444" s="213"/>
      <c r="M444" s="213">
        <f t="shared" si="353"/>
        <v>0</v>
      </c>
      <c r="N444" s="207"/>
      <c r="O444" s="231" t="s">
        <v>1748</v>
      </c>
      <c r="P444" s="230">
        <v>0</v>
      </c>
      <c r="Q444" s="230">
        <v>0</v>
      </c>
      <c r="R444" s="230">
        <v>0</v>
      </c>
      <c r="S444" s="213">
        <f t="shared" si="354"/>
        <v>0</v>
      </c>
      <c r="T444" s="216"/>
      <c r="U444" s="207"/>
      <c r="V444" s="216"/>
      <c r="W444" s="216"/>
      <c r="X444" s="216"/>
      <c r="Y444" s="213">
        <f t="shared" si="355"/>
        <v>0</v>
      </c>
      <c r="Z444" s="222" t="s">
        <v>1129</v>
      </c>
      <c r="AA444" s="228" t="s">
        <v>1090</v>
      </c>
      <c r="AB444" s="218"/>
      <c r="AC444" s="220"/>
      <c r="AD444" s="309" t="s">
        <v>1749</v>
      </c>
      <c r="AE444" s="220" t="str">
        <f t="shared" si="356"/>
        <v/>
      </c>
      <c r="AF444" s="229"/>
      <c r="AG444" s="220" t="e">
        <f t="shared" si="357"/>
        <v>#VALUE!</v>
      </c>
      <c r="AH444" s="220" t="str">
        <f t="shared" si="358"/>
        <v>2</v>
      </c>
      <c r="AI444" s="220"/>
      <c r="AJ444" s="221" t="str">
        <f t="shared" si="359"/>
        <v>2</v>
      </c>
      <c r="AK444" s="220" t="e">
        <f t="shared" si="360"/>
        <v>#VALUE!</v>
      </c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1:61" ht="16.5" customHeight="1" outlineLevel="2">
      <c r="A445" s="207">
        <f t="shared" si="350"/>
        <v>415</v>
      </c>
      <c r="B445" s="207">
        <v>24</v>
      </c>
      <c r="C445" s="208" t="s">
        <v>1750</v>
      </c>
      <c r="D445" s="209">
        <v>101325.56488263552</v>
      </c>
      <c r="E445" s="504" t="s">
        <v>91</v>
      </c>
      <c r="F445" s="213">
        <f>Y445</f>
        <v>99043.48</v>
      </c>
      <c r="G445" s="207"/>
      <c r="H445" s="281">
        <f t="shared" si="352"/>
        <v>2012</v>
      </c>
      <c r="I445" s="212" t="s">
        <v>682</v>
      </c>
      <c r="J445" s="213">
        <v>180000</v>
      </c>
      <c r="K445" s="213">
        <v>0</v>
      </c>
      <c r="L445" s="213">
        <v>180000</v>
      </c>
      <c r="M445" s="213">
        <f t="shared" si="353"/>
        <v>180000</v>
      </c>
      <c r="N445" s="207"/>
      <c r="O445" s="231"/>
      <c r="P445" s="230"/>
      <c r="Q445" s="230"/>
      <c r="R445" s="230"/>
      <c r="S445" s="213">
        <f t="shared" si="354"/>
        <v>0</v>
      </c>
      <c r="T445" s="216" t="s">
        <v>1076</v>
      </c>
      <c r="U445" s="507" t="s">
        <v>830</v>
      </c>
      <c r="V445" s="232">
        <v>99043.48</v>
      </c>
      <c r="W445" s="233">
        <v>706.84</v>
      </c>
      <c r="X445" s="216"/>
      <c r="Y445" s="213">
        <f t="shared" si="355"/>
        <v>99043.48</v>
      </c>
      <c r="Z445" s="222">
        <v>2022</v>
      </c>
      <c r="AA445" s="228"/>
      <c r="AB445" s="218"/>
      <c r="AC445" s="220"/>
      <c r="AD445" s="309" t="s">
        <v>1713</v>
      </c>
      <c r="AE445" s="220" t="str">
        <f t="shared" si="356"/>
        <v>V</v>
      </c>
      <c r="AF445" s="229"/>
      <c r="AG445" s="220" t="str">
        <f t="shared" si="357"/>
        <v>2</v>
      </c>
      <c r="AH445" s="220" t="str">
        <f t="shared" si="358"/>
        <v>1</v>
      </c>
      <c r="AI445" s="220"/>
      <c r="AJ445" s="221" t="str">
        <f t="shared" si="359"/>
        <v>1</v>
      </c>
      <c r="AK445" s="220" t="str">
        <f t="shared" si="360"/>
        <v>2.1..1</v>
      </c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1:61" ht="16.5" customHeight="1" outlineLevel="1">
      <c r="A446" s="207"/>
      <c r="B446" s="235"/>
      <c r="C446" s="249" t="s">
        <v>1751</v>
      </c>
      <c r="D446" s="250">
        <f>SUM(D422:D445)</f>
        <v>654818.39564441401</v>
      </c>
      <c r="E446" s="238">
        <f>COUNTIF(E422:E445,"D") + COUNTIF(E422:E445,"DS")</f>
        <v>23</v>
      </c>
      <c r="F446" s="254">
        <f>SUBTOTAL(9,F422:F445)</f>
        <v>648315.84</v>
      </c>
      <c r="G446" s="201"/>
      <c r="H446" s="240"/>
      <c r="I446" s="264"/>
      <c r="J446" s="254">
        <f t="shared" ref="J446:S446" si="367">SUBTOTAL(9,J422:J445)</f>
        <v>715816.71</v>
      </c>
      <c r="K446" s="254">
        <f t="shared" si="367"/>
        <v>0</v>
      </c>
      <c r="L446" s="254">
        <f t="shared" si="367"/>
        <v>742139.71</v>
      </c>
      <c r="M446" s="254">
        <f t="shared" si="367"/>
        <v>742139.71</v>
      </c>
      <c r="N446" s="254">
        <f t="shared" si="367"/>
        <v>0</v>
      </c>
      <c r="O446" s="254">
        <f t="shared" si="367"/>
        <v>0</v>
      </c>
      <c r="P446" s="254">
        <f t="shared" si="367"/>
        <v>98976.98</v>
      </c>
      <c r="Q446" s="254">
        <f t="shared" si="367"/>
        <v>214.3</v>
      </c>
      <c r="R446" s="254">
        <f t="shared" si="367"/>
        <v>85332.72</v>
      </c>
      <c r="S446" s="254">
        <f t="shared" si="367"/>
        <v>99230.790000000008</v>
      </c>
      <c r="T446" s="254">
        <v>4</v>
      </c>
      <c r="U446" s="254">
        <v>4</v>
      </c>
      <c r="V446" s="254">
        <f t="shared" ref="V446:Y446" si="368">SUBTOTAL(9,V422:V445)</f>
        <v>268392.02</v>
      </c>
      <c r="W446" s="254">
        <f t="shared" si="368"/>
        <v>15581.12</v>
      </c>
      <c r="X446" s="254">
        <f t="shared" si="368"/>
        <v>111479.38</v>
      </c>
      <c r="Y446" s="254">
        <f t="shared" si="368"/>
        <v>273567.06</v>
      </c>
      <c r="Z446" s="243" t="s">
        <v>1138</v>
      </c>
      <c r="AA446" s="228"/>
      <c r="AB446" s="218"/>
      <c r="AC446" s="220"/>
      <c r="AD446" s="220"/>
      <c r="AE446" s="244">
        <f>COUNTIF(AE422:AE445,"V") + COUNTIF(AE422:AE445,"VV") + COUNTIF(AE422:AE445,"VVV")</f>
        <v>13</v>
      </c>
      <c r="AF446" s="229"/>
      <c r="AG446" s="220"/>
      <c r="AH446" s="220"/>
      <c r="AI446" s="220"/>
      <c r="AJ446" s="221"/>
      <c r="AK446" s="220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1:61" ht="16.5" customHeight="1" outlineLevel="2">
      <c r="A447" s="207">
        <f t="shared" ref="A447:A463" si="369">SUBTOTAL(3,$B$6:B447)</f>
        <v>416</v>
      </c>
      <c r="B447" s="207">
        <v>1</v>
      </c>
      <c r="C447" s="245" t="s">
        <v>1752</v>
      </c>
      <c r="D447" s="209">
        <v>10043.823357026915</v>
      </c>
      <c r="E447" s="504" t="s">
        <v>91</v>
      </c>
      <c r="F447" s="213">
        <f>S447</f>
        <v>12106</v>
      </c>
      <c r="G447" s="207"/>
      <c r="H447" s="281">
        <f t="shared" ref="H447:H463" si="370">VALUE(RIGHT(I447,4))</f>
        <v>2013</v>
      </c>
      <c r="I447" s="212" t="s">
        <v>1753</v>
      </c>
      <c r="J447" s="213">
        <v>54510</v>
      </c>
      <c r="K447" s="213">
        <v>0</v>
      </c>
      <c r="L447" s="213">
        <v>54510</v>
      </c>
      <c r="M447" s="213">
        <f t="shared" ref="M447:M463" si="371">IF(L447&gt;0,L447,IF(J447&gt;0,J447,0))</f>
        <v>54510</v>
      </c>
      <c r="N447" s="207" t="s">
        <v>1076</v>
      </c>
      <c r="O447" s="253" t="s">
        <v>1754</v>
      </c>
      <c r="P447" s="230">
        <v>12106</v>
      </c>
      <c r="Q447" s="230">
        <v>617</v>
      </c>
      <c r="R447" s="230"/>
      <c r="S447" s="213">
        <f t="shared" ref="S447:S463" si="372">IF(R447&gt;0,R447,IF(P447&gt;0,P447,0))</f>
        <v>12106</v>
      </c>
      <c r="T447" s="216"/>
      <c r="U447" s="221"/>
      <c r="V447" s="216"/>
      <c r="W447" s="216"/>
      <c r="X447" s="216"/>
      <c r="Y447" s="213">
        <f t="shared" ref="Y447:Y463" si="373">IF(X447&gt;0,X447,IF(V447&gt;0,V447,0))</f>
        <v>0</v>
      </c>
      <c r="Z447" s="222">
        <v>2020</v>
      </c>
      <c r="AA447" s="228"/>
      <c r="AB447" s="218"/>
      <c r="AC447" s="220"/>
      <c r="AD447" s="220"/>
      <c r="AE447" s="220" t="str">
        <f t="shared" ref="AE447:AE463" si="374">CONCATENATE(G447,N447,T447)</f>
        <v>V</v>
      </c>
      <c r="AF447" s="229"/>
      <c r="AG447" s="220" t="str">
        <f t="shared" ref="AG447:AG463" si="375">IF(H447=0,"3",IF(H447&lt;=2018,"2","1"))</f>
        <v>2</v>
      </c>
      <c r="AH447" s="220" t="str">
        <f t="shared" ref="AH447:AH544" si="376">IF(M447&gt;0,"1","2")</f>
        <v>1</v>
      </c>
      <c r="AI447" s="220"/>
      <c r="AJ447" s="221" t="str">
        <f t="shared" ref="AJ447:AJ463" si="377">IF(S447&gt;0,"1",IF(Y447&gt;0,"1","2"))</f>
        <v>1</v>
      </c>
      <c r="AK447" s="220" t="str">
        <f t="shared" ref="AK447:AK463" si="378">CONCATENATE(AG447,".",AH447,".",AI447,".",AJ447)</f>
        <v>2.1..1</v>
      </c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1:61" ht="16.5" customHeight="1" outlineLevel="2">
      <c r="A448" s="207">
        <f t="shared" si="369"/>
        <v>417</v>
      </c>
      <c r="B448" s="207">
        <v>2</v>
      </c>
      <c r="C448" s="245" t="s">
        <v>1755</v>
      </c>
      <c r="D448" s="209">
        <v>1369.0002596838744</v>
      </c>
      <c r="E448" s="504" t="s">
        <v>91</v>
      </c>
      <c r="F448" s="213">
        <f t="shared" ref="F448:F463" si="379">IF(M448&gt;0,M448,IF(S448&gt;0,S448,IF(Y448&gt;0,Y448,0)))</f>
        <v>1128</v>
      </c>
      <c r="G448" s="207"/>
      <c r="H448" s="281" t="e">
        <f t="shared" si="370"/>
        <v>#VALUE!</v>
      </c>
      <c r="I448" s="212"/>
      <c r="J448" s="213"/>
      <c r="K448" s="213"/>
      <c r="L448" s="213"/>
      <c r="M448" s="213">
        <f t="shared" si="371"/>
        <v>0</v>
      </c>
      <c r="N448" s="207" t="s">
        <v>1076</v>
      </c>
      <c r="O448" s="512" t="s">
        <v>1756</v>
      </c>
      <c r="P448" s="230">
        <v>1128</v>
      </c>
      <c r="Q448" s="230"/>
      <c r="R448" s="230"/>
      <c r="S448" s="213">
        <f t="shared" si="372"/>
        <v>1128</v>
      </c>
      <c r="T448" s="216"/>
      <c r="U448" s="221"/>
      <c r="V448" s="216"/>
      <c r="W448" s="216"/>
      <c r="X448" s="216"/>
      <c r="Y448" s="213">
        <f t="shared" si="373"/>
        <v>0</v>
      </c>
      <c r="Z448" s="222" t="s">
        <v>1097</v>
      </c>
      <c r="AA448" s="228"/>
      <c r="AB448" s="218"/>
      <c r="AC448" s="220"/>
      <c r="AD448" s="220"/>
      <c r="AE448" s="220" t="str">
        <f t="shared" si="374"/>
        <v>V</v>
      </c>
      <c r="AF448" s="229"/>
      <c r="AG448" s="220" t="e">
        <f t="shared" si="375"/>
        <v>#VALUE!</v>
      </c>
      <c r="AH448" s="220" t="str">
        <f t="shared" si="376"/>
        <v>2</v>
      </c>
      <c r="AI448" s="220"/>
      <c r="AJ448" s="221" t="str">
        <f t="shared" si="377"/>
        <v>1</v>
      </c>
      <c r="AK448" s="220" t="e">
        <f t="shared" si="378"/>
        <v>#VALUE!</v>
      </c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1:61" ht="16.5" customHeight="1" outlineLevel="2">
      <c r="A449" s="207">
        <f t="shared" si="369"/>
        <v>418</v>
      </c>
      <c r="B449" s="207">
        <v>3</v>
      </c>
      <c r="C449" s="245" t="s">
        <v>1757</v>
      </c>
      <c r="D449" s="209">
        <v>0</v>
      </c>
      <c r="E449" s="504" t="s">
        <v>91</v>
      </c>
      <c r="F449" s="213">
        <f t="shared" si="379"/>
        <v>1831.74</v>
      </c>
      <c r="G449" s="207"/>
      <c r="H449" s="281" t="e">
        <f t="shared" si="370"/>
        <v>#VALUE!</v>
      </c>
      <c r="I449" s="212"/>
      <c r="J449" s="213"/>
      <c r="K449" s="213"/>
      <c r="L449" s="213"/>
      <c r="M449" s="213">
        <f t="shared" si="371"/>
        <v>0</v>
      </c>
      <c r="N449" s="207"/>
      <c r="O449" s="231"/>
      <c r="P449" s="230"/>
      <c r="Q449" s="230"/>
      <c r="R449" s="230"/>
      <c r="S449" s="213">
        <f t="shared" si="372"/>
        <v>0</v>
      </c>
      <c r="T449" s="216" t="s">
        <v>1076</v>
      </c>
      <c r="U449" s="227" t="s">
        <v>835</v>
      </c>
      <c r="V449" s="216">
        <v>230.71</v>
      </c>
      <c r="W449" s="216">
        <v>1599.03</v>
      </c>
      <c r="X449" s="216">
        <v>1831.74</v>
      </c>
      <c r="Y449" s="213">
        <f t="shared" si="373"/>
        <v>1831.74</v>
      </c>
      <c r="Z449" s="222">
        <v>2020</v>
      </c>
      <c r="AA449" s="228"/>
      <c r="AB449" s="218"/>
      <c r="AC449" s="220"/>
      <c r="AD449" s="220"/>
      <c r="AE449" s="220" t="str">
        <f t="shared" si="374"/>
        <v>V</v>
      </c>
      <c r="AF449" s="229"/>
      <c r="AG449" s="220" t="e">
        <f t="shared" si="375"/>
        <v>#VALUE!</v>
      </c>
      <c r="AH449" s="220" t="str">
        <f t="shared" si="376"/>
        <v>2</v>
      </c>
      <c r="AI449" s="220"/>
      <c r="AJ449" s="221" t="str">
        <f t="shared" si="377"/>
        <v>1</v>
      </c>
      <c r="AK449" s="220" t="e">
        <f t="shared" si="378"/>
        <v>#VALUE!</v>
      </c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1:61" ht="16.5" customHeight="1" outlineLevel="2">
      <c r="A450" s="207">
        <f t="shared" si="369"/>
        <v>419</v>
      </c>
      <c r="B450" s="207">
        <v>4</v>
      </c>
      <c r="C450" s="245" t="s">
        <v>1758</v>
      </c>
      <c r="D450" s="209">
        <v>0</v>
      </c>
      <c r="E450" s="504" t="s">
        <v>104</v>
      </c>
      <c r="F450" s="213">
        <f t="shared" si="379"/>
        <v>1025</v>
      </c>
      <c r="G450" s="207"/>
      <c r="H450" s="281">
        <f t="shared" si="370"/>
        <v>2020</v>
      </c>
      <c r="I450" s="212" t="s">
        <v>1759</v>
      </c>
      <c r="J450" s="213">
        <v>1025</v>
      </c>
      <c r="K450" s="213">
        <v>0</v>
      </c>
      <c r="L450" s="213">
        <v>1025</v>
      </c>
      <c r="M450" s="213">
        <f t="shared" si="371"/>
        <v>1025</v>
      </c>
      <c r="N450" s="207"/>
      <c r="O450" s="505" t="s">
        <v>837</v>
      </c>
      <c r="P450" s="230">
        <v>32331.83</v>
      </c>
      <c r="Q450" s="230"/>
      <c r="R450" s="230"/>
      <c r="S450" s="213">
        <f t="shared" si="372"/>
        <v>32331.83</v>
      </c>
      <c r="T450" s="216"/>
      <c r="U450" s="207"/>
      <c r="V450" s="216"/>
      <c r="W450" s="216"/>
      <c r="X450" s="216"/>
      <c r="Y450" s="213">
        <f t="shared" si="373"/>
        <v>0</v>
      </c>
      <c r="Z450" s="222" t="s">
        <v>1097</v>
      </c>
      <c r="AA450" s="228"/>
      <c r="AB450" s="218"/>
      <c r="AC450" s="220"/>
      <c r="AD450" s="220"/>
      <c r="AE450" s="220" t="str">
        <f t="shared" si="374"/>
        <v/>
      </c>
      <c r="AF450" s="229"/>
      <c r="AG450" s="220" t="str">
        <f t="shared" si="375"/>
        <v>1</v>
      </c>
      <c r="AH450" s="220" t="str">
        <f t="shared" si="376"/>
        <v>1</v>
      </c>
      <c r="AI450" s="220"/>
      <c r="AJ450" s="221" t="str">
        <f t="shared" si="377"/>
        <v>1</v>
      </c>
      <c r="AK450" s="220" t="str">
        <f t="shared" si="378"/>
        <v>1.1..1</v>
      </c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1:61" ht="16.5" customHeight="1" outlineLevel="2">
      <c r="A451" s="207">
        <f t="shared" si="369"/>
        <v>420</v>
      </c>
      <c r="B451" s="207">
        <v>5</v>
      </c>
      <c r="C451" s="245" t="s">
        <v>1760</v>
      </c>
      <c r="D451" s="209">
        <v>992.26889610267153</v>
      </c>
      <c r="E451" s="504" t="s">
        <v>104</v>
      </c>
      <c r="F451" s="213">
        <f t="shared" si="379"/>
        <v>2830</v>
      </c>
      <c r="G451" s="207"/>
      <c r="H451" s="281">
        <f t="shared" si="370"/>
        <v>2012</v>
      </c>
      <c r="I451" s="212" t="s">
        <v>1761</v>
      </c>
      <c r="J451" s="213">
        <v>2830</v>
      </c>
      <c r="K451" s="213">
        <v>0</v>
      </c>
      <c r="L451" s="213">
        <v>2830</v>
      </c>
      <c r="M451" s="213">
        <f t="shared" si="371"/>
        <v>2830</v>
      </c>
      <c r="N451" s="207"/>
      <c r="O451" s="253"/>
      <c r="P451" s="230"/>
      <c r="Q451" s="230"/>
      <c r="R451" s="230"/>
      <c r="S451" s="213">
        <f t="shared" si="372"/>
        <v>0</v>
      </c>
      <c r="T451" s="216"/>
      <c r="U451" s="517" t="s">
        <v>1762</v>
      </c>
      <c r="V451" s="216">
        <v>1137.5999999999999</v>
      </c>
      <c r="W451" s="216">
        <v>0</v>
      </c>
      <c r="X451" s="216">
        <v>0</v>
      </c>
      <c r="Y451" s="213">
        <f t="shared" si="373"/>
        <v>1137.5999999999999</v>
      </c>
      <c r="Z451" s="222">
        <v>2020</v>
      </c>
      <c r="AA451" s="228"/>
      <c r="AB451" s="218"/>
      <c r="AC451" s="220"/>
      <c r="AD451" s="220"/>
      <c r="AE451" s="220" t="str">
        <f t="shared" si="374"/>
        <v/>
      </c>
      <c r="AF451" s="229"/>
      <c r="AG451" s="220" t="str">
        <f t="shared" si="375"/>
        <v>2</v>
      </c>
      <c r="AH451" s="220" t="str">
        <f t="shared" si="376"/>
        <v>1</v>
      </c>
      <c r="AI451" s="220"/>
      <c r="AJ451" s="221" t="str">
        <f t="shared" si="377"/>
        <v>1</v>
      </c>
      <c r="AK451" s="220" t="str">
        <f t="shared" si="378"/>
        <v>2.1..1</v>
      </c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1:61" ht="16.5" customHeight="1" outlineLevel="2">
      <c r="A452" s="207">
        <f t="shared" si="369"/>
        <v>421</v>
      </c>
      <c r="B452" s="207">
        <v>6</v>
      </c>
      <c r="C452" s="245" t="s">
        <v>1763</v>
      </c>
      <c r="D452" s="209">
        <v>7738.3022160144392</v>
      </c>
      <c r="E452" s="504" t="s">
        <v>104</v>
      </c>
      <c r="F452" s="213">
        <f t="shared" si="379"/>
        <v>50318</v>
      </c>
      <c r="G452" s="207"/>
      <c r="H452" s="281">
        <f t="shared" si="370"/>
        <v>2012</v>
      </c>
      <c r="I452" s="212" t="s">
        <v>1497</v>
      </c>
      <c r="J452" s="213">
        <v>50318</v>
      </c>
      <c r="K452" s="213">
        <v>0</v>
      </c>
      <c r="L452" s="213">
        <v>50318</v>
      </c>
      <c r="M452" s="213">
        <f t="shared" si="371"/>
        <v>50318</v>
      </c>
      <c r="N452" s="207"/>
      <c r="O452" s="231"/>
      <c r="P452" s="230"/>
      <c r="Q452" s="230"/>
      <c r="R452" s="230"/>
      <c r="S452" s="213">
        <f t="shared" si="372"/>
        <v>0</v>
      </c>
      <c r="T452" s="216"/>
      <c r="U452" s="207"/>
      <c r="V452" s="216"/>
      <c r="W452" s="216"/>
      <c r="X452" s="216"/>
      <c r="Y452" s="213">
        <f t="shared" si="373"/>
        <v>0</v>
      </c>
      <c r="Z452" s="222" t="s">
        <v>1097</v>
      </c>
      <c r="AA452" s="228"/>
      <c r="AB452" s="218"/>
      <c r="AC452" s="220"/>
      <c r="AD452" s="220"/>
      <c r="AE452" s="220" t="str">
        <f t="shared" si="374"/>
        <v/>
      </c>
      <c r="AF452" s="229"/>
      <c r="AG452" s="220" t="str">
        <f t="shared" si="375"/>
        <v>2</v>
      </c>
      <c r="AH452" s="220" t="str">
        <f t="shared" si="376"/>
        <v>1</v>
      </c>
      <c r="AI452" s="220"/>
      <c r="AJ452" s="221" t="str">
        <f t="shared" si="377"/>
        <v>2</v>
      </c>
      <c r="AK452" s="220" t="str">
        <f t="shared" si="378"/>
        <v>2.1..2</v>
      </c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1:61" ht="16.5" customHeight="1" outlineLevel="2">
      <c r="A453" s="207">
        <f t="shared" si="369"/>
        <v>422</v>
      </c>
      <c r="B453" s="207">
        <v>7</v>
      </c>
      <c r="C453" s="245" t="s">
        <v>1764</v>
      </c>
      <c r="D453" s="209">
        <v>11244.037929703743</v>
      </c>
      <c r="E453" s="504" t="s">
        <v>104</v>
      </c>
      <c r="F453" s="213">
        <f t="shared" si="379"/>
        <v>0</v>
      </c>
      <c r="G453" s="207"/>
      <c r="H453" s="281" t="e">
        <f t="shared" si="370"/>
        <v>#VALUE!</v>
      </c>
      <c r="I453" s="212"/>
      <c r="J453" s="213"/>
      <c r="K453" s="213"/>
      <c r="L453" s="213"/>
      <c r="M453" s="213">
        <f t="shared" si="371"/>
        <v>0</v>
      </c>
      <c r="N453" s="207"/>
      <c r="O453" s="231" t="s">
        <v>1765</v>
      </c>
      <c r="P453" s="230">
        <v>0</v>
      </c>
      <c r="Q453" s="230">
        <v>0</v>
      </c>
      <c r="R453" s="230">
        <v>0</v>
      </c>
      <c r="S453" s="213">
        <f t="shared" si="372"/>
        <v>0</v>
      </c>
      <c r="T453" s="216"/>
      <c r="U453" s="207"/>
      <c r="V453" s="216"/>
      <c r="W453" s="216"/>
      <c r="X453" s="216"/>
      <c r="Y453" s="213">
        <f t="shared" si="373"/>
        <v>0</v>
      </c>
      <c r="Z453" s="222" t="s">
        <v>1097</v>
      </c>
      <c r="AA453" s="228"/>
      <c r="AB453" s="218"/>
      <c r="AC453" s="220"/>
      <c r="AD453" s="220"/>
      <c r="AE453" s="220" t="str">
        <f t="shared" si="374"/>
        <v/>
      </c>
      <c r="AF453" s="229"/>
      <c r="AG453" s="220" t="e">
        <f t="shared" si="375"/>
        <v>#VALUE!</v>
      </c>
      <c r="AH453" s="220" t="str">
        <f t="shared" si="376"/>
        <v>2</v>
      </c>
      <c r="AI453" s="220"/>
      <c r="AJ453" s="221" t="str">
        <f t="shared" si="377"/>
        <v>2</v>
      </c>
      <c r="AK453" s="220" t="e">
        <f t="shared" si="378"/>
        <v>#VALUE!</v>
      </c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1:61" ht="16.5" customHeight="1" outlineLevel="2">
      <c r="A454" s="207">
        <f t="shared" si="369"/>
        <v>423</v>
      </c>
      <c r="B454" s="207">
        <v>8</v>
      </c>
      <c r="C454" s="245" t="s">
        <v>1766</v>
      </c>
      <c r="D454" s="209">
        <v>1125.6082973963007</v>
      </c>
      <c r="E454" s="312" t="s">
        <v>104</v>
      </c>
      <c r="F454" s="213">
        <f t="shared" si="379"/>
        <v>9466.69</v>
      </c>
      <c r="G454" s="215"/>
      <c r="H454" s="281">
        <f t="shared" si="370"/>
        <v>2012</v>
      </c>
      <c r="I454" s="212" t="s">
        <v>843</v>
      </c>
      <c r="J454" s="213">
        <v>9466.69</v>
      </c>
      <c r="K454" s="213">
        <v>0</v>
      </c>
      <c r="L454" s="213">
        <v>9466.69</v>
      </c>
      <c r="M454" s="213">
        <f t="shared" si="371"/>
        <v>9466.69</v>
      </c>
      <c r="N454" s="215"/>
      <c r="O454" s="231"/>
      <c r="P454" s="230"/>
      <c r="Q454" s="230"/>
      <c r="R454" s="230"/>
      <c r="S454" s="213">
        <f t="shared" si="372"/>
        <v>0</v>
      </c>
      <c r="T454" s="216"/>
      <c r="U454" s="207"/>
      <c r="V454" s="216"/>
      <c r="W454" s="216"/>
      <c r="X454" s="216"/>
      <c r="Y454" s="213">
        <f t="shared" si="373"/>
        <v>0</v>
      </c>
      <c r="Z454" s="222" t="s">
        <v>1097</v>
      </c>
      <c r="AA454" s="228"/>
      <c r="AB454" s="218"/>
      <c r="AC454" s="220"/>
      <c r="AD454" s="220"/>
      <c r="AE454" s="220" t="str">
        <f t="shared" si="374"/>
        <v/>
      </c>
      <c r="AF454" s="229"/>
      <c r="AG454" s="220" t="str">
        <f t="shared" si="375"/>
        <v>2</v>
      </c>
      <c r="AH454" s="220" t="str">
        <f t="shared" si="376"/>
        <v>1</v>
      </c>
      <c r="AI454" s="220"/>
      <c r="AJ454" s="221" t="str">
        <f t="shared" si="377"/>
        <v>2</v>
      </c>
      <c r="AK454" s="220" t="str">
        <f t="shared" si="378"/>
        <v>2.1..2</v>
      </c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1:61" ht="16.5" customHeight="1" outlineLevel="2">
      <c r="A455" s="207">
        <f t="shared" si="369"/>
        <v>424</v>
      </c>
      <c r="B455" s="207">
        <v>9</v>
      </c>
      <c r="C455" s="245" t="s">
        <v>1767</v>
      </c>
      <c r="D455" s="209">
        <v>27250.831403265976</v>
      </c>
      <c r="E455" s="504" t="s">
        <v>661</v>
      </c>
      <c r="F455" s="213">
        <f t="shared" si="379"/>
        <v>0</v>
      </c>
      <c r="G455" s="215"/>
      <c r="H455" s="281" t="e">
        <f t="shared" si="370"/>
        <v>#VALUE!</v>
      </c>
      <c r="I455" s="212"/>
      <c r="J455" s="213"/>
      <c r="K455" s="213"/>
      <c r="L455" s="213"/>
      <c r="M455" s="213">
        <f t="shared" si="371"/>
        <v>0</v>
      </c>
      <c r="N455" s="215"/>
      <c r="O455" s="231"/>
      <c r="P455" s="230"/>
      <c r="Q455" s="230"/>
      <c r="R455" s="230"/>
      <c r="S455" s="213">
        <f t="shared" si="372"/>
        <v>0</v>
      </c>
      <c r="T455" s="216"/>
      <c r="U455" s="207"/>
      <c r="V455" s="216"/>
      <c r="W455" s="216"/>
      <c r="X455" s="216"/>
      <c r="Y455" s="213">
        <f t="shared" si="373"/>
        <v>0</v>
      </c>
      <c r="Z455" s="222">
        <v>2023</v>
      </c>
      <c r="AA455" s="228" t="s">
        <v>1160</v>
      </c>
      <c r="AB455" s="218"/>
      <c r="AC455" s="220"/>
      <c r="AD455" s="220"/>
      <c r="AE455" s="220" t="str">
        <f t="shared" si="374"/>
        <v/>
      </c>
      <c r="AF455" s="229"/>
      <c r="AG455" s="220" t="e">
        <f t="shared" si="375"/>
        <v>#VALUE!</v>
      </c>
      <c r="AH455" s="220" t="str">
        <f t="shared" si="376"/>
        <v>2</v>
      </c>
      <c r="AI455" s="220"/>
      <c r="AJ455" s="221" t="str">
        <f t="shared" si="377"/>
        <v>2</v>
      </c>
      <c r="AK455" s="220" t="e">
        <f t="shared" si="378"/>
        <v>#VALUE!</v>
      </c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1:61" ht="16.5" customHeight="1" outlineLevel="2">
      <c r="A456" s="207">
        <f t="shared" si="369"/>
        <v>425</v>
      </c>
      <c r="B456" s="207">
        <v>10</v>
      </c>
      <c r="C456" s="245" t="s">
        <v>1768</v>
      </c>
      <c r="D456" s="209">
        <v>252.47201489846401</v>
      </c>
      <c r="E456" s="504" t="s">
        <v>104</v>
      </c>
      <c r="F456" s="213">
        <f t="shared" si="379"/>
        <v>1909</v>
      </c>
      <c r="G456" s="207"/>
      <c r="H456" s="223">
        <f t="shared" si="370"/>
        <v>2021</v>
      </c>
      <c r="I456" s="248" t="s">
        <v>243</v>
      </c>
      <c r="J456" s="246">
        <v>0</v>
      </c>
      <c r="K456" s="246">
        <v>0</v>
      </c>
      <c r="L456" s="246">
        <v>1909</v>
      </c>
      <c r="M456" s="213">
        <f t="shared" si="371"/>
        <v>1909</v>
      </c>
      <c r="N456" s="207"/>
      <c r="O456" s="231"/>
      <c r="P456" s="230"/>
      <c r="Q456" s="230"/>
      <c r="R456" s="230"/>
      <c r="S456" s="213">
        <f t="shared" si="372"/>
        <v>0</v>
      </c>
      <c r="T456" s="216"/>
      <c r="U456" s="207"/>
      <c r="V456" s="216"/>
      <c r="W456" s="216"/>
      <c r="X456" s="216"/>
      <c r="Y456" s="213">
        <f t="shared" si="373"/>
        <v>0</v>
      </c>
      <c r="Z456" s="222" t="s">
        <v>1097</v>
      </c>
      <c r="AA456" s="228"/>
      <c r="AB456" s="218"/>
      <c r="AC456" s="220"/>
      <c r="AD456" s="220"/>
      <c r="AE456" s="220" t="str">
        <f t="shared" si="374"/>
        <v/>
      </c>
      <c r="AF456" s="229"/>
      <c r="AG456" s="220" t="str">
        <f t="shared" si="375"/>
        <v>1</v>
      </c>
      <c r="AH456" s="220" t="str">
        <f t="shared" si="376"/>
        <v>1</v>
      </c>
      <c r="AI456" s="220"/>
      <c r="AJ456" s="221" t="str">
        <f t="shared" si="377"/>
        <v>2</v>
      </c>
      <c r="AK456" s="220" t="str">
        <f t="shared" si="378"/>
        <v>1.1..2</v>
      </c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1:61" ht="16.5" customHeight="1" outlineLevel="2">
      <c r="A457" s="207">
        <f t="shared" si="369"/>
        <v>426</v>
      </c>
      <c r="B457" s="207">
        <v>11</v>
      </c>
      <c r="C457" s="245" t="s">
        <v>1769</v>
      </c>
      <c r="D457" s="209">
        <v>16782.309326846615</v>
      </c>
      <c r="E457" s="504" t="s">
        <v>91</v>
      </c>
      <c r="F457" s="213">
        <f t="shared" si="379"/>
        <v>27707</v>
      </c>
      <c r="G457" s="207" t="s">
        <v>1076</v>
      </c>
      <c r="H457" s="223">
        <f t="shared" si="370"/>
        <v>2020</v>
      </c>
      <c r="I457" s="248" t="s">
        <v>848</v>
      </c>
      <c r="J457" s="246">
        <v>0</v>
      </c>
      <c r="K457" s="246">
        <v>0</v>
      </c>
      <c r="L457" s="246">
        <v>27707</v>
      </c>
      <c r="M457" s="213">
        <f t="shared" si="371"/>
        <v>27707</v>
      </c>
      <c r="N457" s="207"/>
      <c r="O457" s="253" t="s">
        <v>234</v>
      </c>
      <c r="P457" s="230">
        <v>0</v>
      </c>
      <c r="Q457" s="230">
        <v>0</v>
      </c>
      <c r="R457" s="230">
        <v>0</v>
      </c>
      <c r="S457" s="213">
        <f t="shared" si="372"/>
        <v>0</v>
      </c>
      <c r="T457" s="216"/>
      <c r="U457" s="221"/>
      <c r="V457" s="216"/>
      <c r="W457" s="216"/>
      <c r="X457" s="216"/>
      <c r="Y457" s="213">
        <f t="shared" si="373"/>
        <v>0</v>
      </c>
      <c r="Z457" s="222">
        <v>2020</v>
      </c>
      <c r="AA457" s="228"/>
      <c r="AB457" s="218"/>
      <c r="AC457" s="220"/>
      <c r="AD457" s="220"/>
      <c r="AE457" s="220" t="str">
        <f t="shared" si="374"/>
        <v>V</v>
      </c>
      <c r="AF457" s="229"/>
      <c r="AG457" s="220" t="str">
        <f t="shared" si="375"/>
        <v>1</v>
      </c>
      <c r="AH457" s="220" t="str">
        <f t="shared" si="376"/>
        <v>1</v>
      </c>
      <c r="AI457" s="220"/>
      <c r="AJ457" s="221" t="str">
        <f t="shared" si="377"/>
        <v>2</v>
      </c>
      <c r="AK457" s="220" t="str">
        <f t="shared" si="378"/>
        <v>1.1..2</v>
      </c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1:61" ht="16.5" customHeight="1" outlineLevel="2">
      <c r="A458" s="207">
        <f t="shared" si="369"/>
        <v>427</v>
      </c>
      <c r="B458" s="207">
        <v>12</v>
      </c>
      <c r="C458" s="245" t="s">
        <v>1770</v>
      </c>
      <c r="D458" s="209">
        <v>1673.191647782696</v>
      </c>
      <c r="E458" s="504" t="s">
        <v>661</v>
      </c>
      <c r="F458" s="213">
        <f t="shared" si="379"/>
        <v>0</v>
      </c>
      <c r="G458" s="207"/>
      <c r="H458" s="223" t="e">
        <f t="shared" si="370"/>
        <v>#VALUE!</v>
      </c>
      <c r="I458" s="248"/>
      <c r="J458" s="246"/>
      <c r="K458" s="246"/>
      <c r="L458" s="246"/>
      <c r="M458" s="213">
        <f t="shared" si="371"/>
        <v>0</v>
      </c>
      <c r="N458" s="207"/>
      <c r="O458" s="253"/>
      <c r="P458" s="230"/>
      <c r="Q458" s="230"/>
      <c r="R458" s="230"/>
      <c r="S458" s="213">
        <f t="shared" si="372"/>
        <v>0</v>
      </c>
      <c r="T458" s="216"/>
      <c r="U458" s="221"/>
      <c r="V458" s="216"/>
      <c r="W458" s="216"/>
      <c r="X458" s="216"/>
      <c r="Y458" s="213">
        <f t="shared" si="373"/>
        <v>0</v>
      </c>
      <c r="Z458" s="222" t="s">
        <v>1097</v>
      </c>
      <c r="AA458" s="228"/>
      <c r="AB458" s="218"/>
      <c r="AC458" s="220"/>
      <c r="AD458" s="220"/>
      <c r="AE458" s="220" t="str">
        <f t="shared" si="374"/>
        <v/>
      </c>
      <c r="AF458" s="229"/>
      <c r="AG458" s="220" t="e">
        <f t="shared" si="375"/>
        <v>#VALUE!</v>
      </c>
      <c r="AH458" s="220" t="str">
        <f t="shared" si="376"/>
        <v>2</v>
      </c>
      <c r="AI458" s="220"/>
      <c r="AJ458" s="221" t="str">
        <f t="shared" si="377"/>
        <v>2</v>
      </c>
      <c r="AK458" s="220" t="e">
        <f t="shared" si="378"/>
        <v>#VALUE!</v>
      </c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1:61" ht="16.5" customHeight="1" outlineLevel="2">
      <c r="A459" s="207">
        <f t="shared" si="369"/>
        <v>428</v>
      </c>
      <c r="B459" s="207">
        <v>13</v>
      </c>
      <c r="C459" s="245" t="s">
        <v>1771</v>
      </c>
      <c r="D459" s="209">
        <v>1365.5865624316141</v>
      </c>
      <c r="E459" s="504" t="s">
        <v>104</v>
      </c>
      <c r="F459" s="213">
        <f t="shared" si="379"/>
        <v>5500</v>
      </c>
      <c r="G459" s="207"/>
      <c r="H459" s="281">
        <f t="shared" si="370"/>
        <v>2012</v>
      </c>
      <c r="I459" s="212" t="s">
        <v>850</v>
      </c>
      <c r="J459" s="213">
        <v>5500</v>
      </c>
      <c r="K459" s="213">
        <v>0</v>
      </c>
      <c r="L459" s="213">
        <v>5500</v>
      </c>
      <c r="M459" s="213">
        <f t="shared" si="371"/>
        <v>5500</v>
      </c>
      <c r="N459" s="207"/>
      <c r="O459" s="231"/>
      <c r="P459" s="230"/>
      <c r="Q459" s="230"/>
      <c r="R459" s="230"/>
      <c r="S459" s="213">
        <f t="shared" si="372"/>
        <v>0</v>
      </c>
      <c r="T459" s="216"/>
      <c r="U459" s="207"/>
      <c r="V459" s="216"/>
      <c r="W459" s="216"/>
      <c r="X459" s="216"/>
      <c r="Y459" s="213">
        <f t="shared" si="373"/>
        <v>0</v>
      </c>
      <c r="Z459" s="222" t="s">
        <v>1097</v>
      </c>
      <c r="AA459" s="228"/>
      <c r="AB459" s="218"/>
      <c r="AC459" s="220"/>
      <c r="AD459" s="220"/>
      <c r="AE459" s="220" t="str">
        <f t="shared" si="374"/>
        <v/>
      </c>
      <c r="AF459" s="229"/>
      <c r="AG459" s="220" t="str">
        <f t="shared" si="375"/>
        <v>2</v>
      </c>
      <c r="AH459" s="220" t="str">
        <f t="shared" si="376"/>
        <v>1</v>
      </c>
      <c r="AI459" s="220"/>
      <c r="AJ459" s="221" t="str">
        <f t="shared" si="377"/>
        <v>2</v>
      </c>
      <c r="AK459" s="220" t="str">
        <f t="shared" si="378"/>
        <v>2.1..2</v>
      </c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1:61" ht="16.5" customHeight="1" outlineLevel="2">
      <c r="A460" s="207">
        <f t="shared" si="369"/>
        <v>429</v>
      </c>
      <c r="B460" s="207">
        <v>14</v>
      </c>
      <c r="C460" s="245" t="s">
        <v>1772</v>
      </c>
      <c r="D460" s="209">
        <v>238.27634132646998</v>
      </c>
      <c r="E460" s="504" t="s">
        <v>104</v>
      </c>
      <c r="F460" s="213">
        <f t="shared" si="379"/>
        <v>0</v>
      </c>
      <c r="G460" s="207"/>
      <c r="H460" s="281" t="e">
        <f t="shared" si="370"/>
        <v>#VALUE!</v>
      </c>
      <c r="I460" s="212"/>
      <c r="J460" s="213"/>
      <c r="K460" s="213"/>
      <c r="L460" s="213"/>
      <c r="M460" s="213">
        <f t="shared" si="371"/>
        <v>0</v>
      </c>
      <c r="N460" s="207"/>
      <c r="O460" s="231" t="s">
        <v>1740</v>
      </c>
      <c r="P460" s="230">
        <v>0</v>
      </c>
      <c r="Q460" s="230">
        <v>0</v>
      </c>
      <c r="R460" s="230">
        <v>0</v>
      </c>
      <c r="S460" s="213">
        <f t="shared" si="372"/>
        <v>0</v>
      </c>
      <c r="T460" s="216"/>
      <c r="U460" s="207"/>
      <c r="V460" s="216"/>
      <c r="W460" s="216"/>
      <c r="X460" s="216"/>
      <c r="Y460" s="213">
        <f t="shared" si="373"/>
        <v>0</v>
      </c>
      <c r="Z460" s="222" t="s">
        <v>1097</v>
      </c>
      <c r="AA460" s="228"/>
      <c r="AB460" s="218"/>
      <c r="AC460" s="220"/>
      <c r="AD460" s="220"/>
      <c r="AE460" s="220" t="str">
        <f t="shared" si="374"/>
        <v/>
      </c>
      <c r="AF460" s="229"/>
      <c r="AG460" s="220" t="e">
        <f t="shared" si="375"/>
        <v>#VALUE!</v>
      </c>
      <c r="AH460" s="220" t="str">
        <f t="shared" si="376"/>
        <v>2</v>
      </c>
      <c r="AI460" s="220"/>
      <c r="AJ460" s="221" t="str">
        <f t="shared" si="377"/>
        <v>2</v>
      </c>
      <c r="AK460" s="220" t="e">
        <f t="shared" si="378"/>
        <v>#VALUE!</v>
      </c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1:61" ht="16.5" customHeight="1" outlineLevel="2">
      <c r="A461" s="207">
        <f t="shared" si="369"/>
        <v>430</v>
      </c>
      <c r="B461" s="207">
        <v>15</v>
      </c>
      <c r="C461" s="245" t="s">
        <v>1773</v>
      </c>
      <c r="D461" s="209">
        <v>822.96237332782914</v>
      </c>
      <c r="E461" s="504" t="s">
        <v>91</v>
      </c>
      <c r="F461" s="213">
        <f t="shared" si="379"/>
        <v>9881.5400000000009</v>
      </c>
      <c r="G461" s="207"/>
      <c r="H461" s="281" t="e">
        <f t="shared" si="370"/>
        <v>#VALUE!</v>
      </c>
      <c r="I461" s="212"/>
      <c r="J461" s="213"/>
      <c r="K461" s="213"/>
      <c r="L461" s="213"/>
      <c r="M461" s="213">
        <f t="shared" si="371"/>
        <v>0</v>
      </c>
      <c r="N461" s="207"/>
      <c r="O461" s="231" t="s">
        <v>854</v>
      </c>
      <c r="P461" s="230">
        <v>9881.5400000000009</v>
      </c>
      <c r="Q461" s="230">
        <v>0</v>
      </c>
      <c r="R461" s="230">
        <v>9881.5400000000009</v>
      </c>
      <c r="S461" s="213">
        <f t="shared" si="372"/>
        <v>9881.5400000000009</v>
      </c>
      <c r="T461" s="216" t="s">
        <v>1076</v>
      </c>
      <c r="U461" s="207" t="s">
        <v>854</v>
      </c>
      <c r="V461" s="216">
        <v>9881.5400000000009</v>
      </c>
      <c r="W461" s="216">
        <v>0</v>
      </c>
      <c r="X461" s="216">
        <v>9881.5400000000009</v>
      </c>
      <c r="Y461" s="213">
        <f t="shared" si="373"/>
        <v>9881.5400000000009</v>
      </c>
      <c r="Z461" s="222" t="s">
        <v>1097</v>
      </c>
      <c r="AA461" s="228"/>
      <c r="AB461" s="218"/>
      <c r="AC461" s="220"/>
      <c r="AD461" s="220"/>
      <c r="AE461" s="220" t="str">
        <f t="shared" si="374"/>
        <v>V</v>
      </c>
      <c r="AF461" s="229"/>
      <c r="AG461" s="220" t="e">
        <f t="shared" si="375"/>
        <v>#VALUE!</v>
      </c>
      <c r="AH461" s="220" t="str">
        <f t="shared" si="376"/>
        <v>2</v>
      </c>
      <c r="AI461" s="220"/>
      <c r="AJ461" s="221" t="str">
        <f t="shared" si="377"/>
        <v>1</v>
      </c>
      <c r="AK461" s="220" t="e">
        <f t="shared" si="378"/>
        <v>#VALUE!</v>
      </c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1:61" ht="16.5" customHeight="1" outlineLevel="2">
      <c r="A462" s="207">
        <f t="shared" si="369"/>
        <v>431</v>
      </c>
      <c r="B462" s="207">
        <v>16</v>
      </c>
      <c r="C462" s="245" t="s">
        <v>1774</v>
      </c>
      <c r="D462" s="209">
        <v>1217.9298030451835</v>
      </c>
      <c r="E462" s="504" t="s">
        <v>104</v>
      </c>
      <c r="F462" s="213">
        <f t="shared" si="379"/>
        <v>1587</v>
      </c>
      <c r="G462" s="207"/>
      <c r="H462" s="223">
        <f t="shared" si="370"/>
        <v>2020</v>
      </c>
      <c r="I462" s="248" t="s">
        <v>478</v>
      </c>
      <c r="J462" s="246">
        <v>0</v>
      </c>
      <c r="K462" s="246">
        <v>0</v>
      </c>
      <c r="L462" s="246">
        <v>1587</v>
      </c>
      <c r="M462" s="213">
        <f t="shared" si="371"/>
        <v>1587</v>
      </c>
      <c r="N462" s="207"/>
      <c r="O462" s="231"/>
      <c r="P462" s="230"/>
      <c r="Q462" s="230"/>
      <c r="R462" s="230"/>
      <c r="S462" s="213">
        <f t="shared" si="372"/>
        <v>0</v>
      </c>
      <c r="T462" s="216"/>
      <c r="U462" s="207"/>
      <c r="V462" s="216"/>
      <c r="W462" s="216"/>
      <c r="X462" s="216"/>
      <c r="Y462" s="213">
        <f t="shared" si="373"/>
        <v>0</v>
      </c>
      <c r="Z462" s="222">
        <v>2020</v>
      </c>
      <c r="AA462" s="228"/>
      <c r="AB462" s="218"/>
      <c r="AC462" s="220"/>
      <c r="AD462" s="220"/>
      <c r="AE462" s="220" t="str">
        <f t="shared" si="374"/>
        <v/>
      </c>
      <c r="AF462" s="229"/>
      <c r="AG462" s="220" t="str">
        <f t="shared" si="375"/>
        <v>1</v>
      </c>
      <c r="AH462" s="220" t="str">
        <f t="shared" si="376"/>
        <v>1</v>
      </c>
      <c r="AI462" s="220"/>
      <c r="AJ462" s="221" t="str">
        <f t="shared" si="377"/>
        <v>2</v>
      </c>
      <c r="AK462" s="220" t="str">
        <f t="shared" si="378"/>
        <v>1.1..2</v>
      </c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1:61" ht="16.5" customHeight="1" outlineLevel="2">
      <c r="A463" s="207">
        <f t="shared" si="369"/>
        <v>432</v>
      </c>
      <c r="B463" s="207">
        <v>17</v>
      </c>
      <c r="C463" s="245" t="s">
        <v>1775</v>
      </c>
      <c r="D463" s="209">
        <v>0</v>
      </c>
      <c r="E463" s="504" t="s">
        <v>104</v>
      </c>
      <c r="F463" s="213">
        <f t="shared" si="379"/>
        <v>16377</v>
      </c>
      <c r="G463" s="207"/>
      <c r="H463" s="281">
        <f t="shared" si="370"/>
        <v>2012</v>
      </c>
      <c r="I463" s="212" t="s">
        <v>682</v>
      </c>
      <c r="J463" s="213">
        <v>16377.76</v>
      </c>
      <c r="K463" s="213">
        <v>0</v>
      </c>
      <c r="L463" s="213">
        <v>16377</v>
      </c>
      <c r="M463" s="213">
        <f t="shared" si="371"/>
        <v>16377</v>
      </c>
      <c r="N463" s="207"/>
      <c r="O463" s="231"/>
      <c r="P463" s="230"/>
      <c r="Q463" s="230"/>
      <c r="R463" s="230"/>
      <c r="S463" s="213">
        <f t="shared" si="372"/>
        <v>0</v>
      </c>
      <c r="T463" s="216"/>
      <c r="U463" s="207"/>
      <c r="V463" s="216"/>
      <c r="W463" s="216"/>
      <c r="X463" s="216"/>
      <c r="Y463" s="213">
        <f t="shared" si="373"/>
        <v>0</v>
      </c>
      <c r="Z463" s="222" t="s">
        <v>1097</v>
      </c>
      <c r="AA463" s="228"/>
      <c r="AB463" s="218"/>
      <c r="AC463" s="220"/>
      <c r="AD463" s="220"/>
      <c r="AE463" s="220" t="str">
        <f t="shared" si="374"/>
        <v/>
      </c>
      <c r="AF463" s="229"/>
      <c r="AG463" s="220" t="str">
        <f t="shared" si="375"/>
        <v>2</v>
      </c>
      <c r="AH463" s="220" t="str">
        <f t="shared" si="376"/>
        <v>1</v>
      </c>
      <c r="AI463" s="220"/>
      <c r="AJ463" s="221" t="str">
        <f t="shared" si="377"/>
        <v>2</v>
      </c>
      <c r="AK463" s="220" t="str">
        <f t="shared" si="378"/>
        <v>2.1..2</v>
      </c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1:61" ht="16.5" customHeight="1" outlineLevel="1">
      <c r="A464" s="207"/>
      <c r="B464" s="235"/>
      <c r="C464" s="249" t="s">
        <v>1776</v>
      </c>
      <c r="D464" s="250">
        <f>SUM(D447:D463)</f>
        <v>82116.600428852806</v>
      </c>
      <c r="E464" s="238">
        <f>COUNTIF(E447:E463,"D") + COUNTIF(E447:E463,"DS")</f>
        <v>15</v>
      </c>
      <c r="F464" s="254">
        <f>SUBTOTAL(9,F447:F463)</f>
        <v>141666.97</v>
      </c>
      <c r="G464" s="201"/>
      <c r="H464" s="240"/>
      <c r="I464" s="264"/>
      <c r="J464" s="254">
        <f t="shared" ref="J464:N464" si="380">SUBTOTAL(9,J447:J463)</f>
        <v>140027.45000000001</v>
      </c>
      <c r="K464" s="254">
        <f t="shared" si="380"/>
        <v>0</v>
      </c>
      <c r="L464" s="254">
        <f t="shared" si="380"/>
        <v>171229.69</v>
      </c>
      <c r="M464" s="254">
        <f t="shared" si="380"/>
        <v>171229.69</v>
      </c>
      <c r="N464" s="254">
        <f t="shared" si="380"/>
        <v>0</v>
      </c>
      <c r="O464" s="236"/>
      <c r="P464" s="255">
        <v>23355.85</v>
      </c>
      <c r="Q464" s="255">
        <v>2216.0299999999997</v>
      </c>
      <c r="R464" s="255">
        <v>11713.28</v>
      </c>
      <c r="S464" s="254">
        <f>SUBTOTAL(9,S447:S463)</f>
        <v>55447.37</v>
      </c>
      <c r="T464" s="203">
        <v>1</v>
      </c>
      <c r="U464" s="201">
        <v>3</v>
      </c>
      <c r="V464" s="203">
        <v>23355.85</v>
      </c>
      <c r="W464" s="203">
        <v>2216.0299999999997</v>
      </c>
      <c r="X464" s="203">
        <v>11713.28</v>
      </c>
      <c r="Y464" s="254">
        <f>SUBTOTAL(9,Y447:Y463)</f>
        <v>12850.880000000001</v>
      </c>
      <c r="Z464" s="243" t="s">
        <v>1138</v>
      </c>
      <c r="AA464" s="228"/>
      <c r="AB464" s="218"/>
      <c r="AC464" s="220"/>
      <c r="AD464" s="220"/>
      <c r="AE464" s="244">
        <f>COUNTIF(AE447:AE463,"V") + COUNTIF(AE447:AE463,"VV") + COUNTIF(AE447:AE463,"VVV")</f>
        <v>5</v>
      </c>
      <c r="AF464" s="229"/>
      <c r="AG464" s="220"/>
      <c r="AH464" s="220" t="str">
        <f t="shared" si="376"/>
        <v>1</v>
      </c>
      <c r="AI464" s="220"/>
      <c r="AJ464" s="221"/>
      <c r="AK464" s="220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1:61" ht="16.5" customHeight="1" outlineLevel="1">
      <c r="A465" s="207">
        <f t="shared" ref="A465:A470" si="381">SUBTOTAL(3,$B$6:B465)</f>
        <v>433</v>
      </c>
      <c r="B465" s="207">
        <v>1</v>
      </c>
      <c r="C465" s="208" t="s">
        <v>1777</v>
      </c>
      <c r="D465" s="247">
        <v>4940.0563431770888</v>
      </c>
      <c r="E465" s="504" t="s">
        <v>661</v>
      </c>
      <c r="F465" s="213">
        <f t="shared" ref="F465:F470" si="382">IF(M465&gt;0,M465,IF(S465&gt;0,S465,IF(Y465&gt;0,Y465,0)))</f>
        <v>0</v>
      </c>
      <c r="G465" s="256"/>
      <c r="H465" s="307" t="e">
        <f t="shared" ref="H465:H470" si="383">VALUE(RIGHT(I465,4))</f>
        <v>#VALUE!</v>
      </c>
      <c r="I465" s="308"/>
      <c r="J465" s="257"/>
      <c r="K465" s="257"/>
      <c r="L465" s="257"/>
      <c r="M465" s="213">
        <f t="shared" ref="M465:M470" si="384">IF(L465&gt;0,L465,IF(J465&gt;0,J465,0))</f>
        <v>0</v>
      </c>
      <c r="N465" s="256"/>
      <c r="O465" s="258"/>
      <c r="P465" s="259"/>
      <c r="Q465" s="259"/>
      <c r="R465" s="259"/>
      <c r="S465" s="213">
        <f t="shared" ref="S465:S470" si="385">IF(R465&gt;0,R465,IF(P465&gt;0,P465,0))</f>
        <v>0</v>
      </c>
      <c r="T465" s="260"/>
      <c r="U465" s="256"/>
      <c r="V465" s="260"/>
      <c r="W465" s="260"/>
      <c r="X465" s="260"/>
      <c r="Y465" s="213">
        <f t="shared" ref="Y465:Y470" si="386">IF(X465&gt;0,X465,IF(V465&gt;0,V465,0))</f>
        <v>0</v>
      </c>
      <c r="Z465" s="222" t="s">
        <v>1464</v>
      </c>
      <c r="AA465" s="228"/>
      <c r="AB465" s="218"/>
      <c r="AC465" s="220"/>
      <c r="AD465" s="220"/>
      <c r="AE465" s="220" t="str">
        <f t="shared" ref="AE465:AE470" si="387">CONCATENATE(G465,N465,T465)</f>
        <v/>
      </c>
      <c r="AF465" s="229"/>
      <c r="AG465" s="220" t="e">
        <f t="shared" ref="AG465:AG470" si="388">IF(H465=0,"3",IF(H465&lt;=2018,"2","1"))</f>
        <v>#VALUE!</v>
      </c>
      <c r="AH465" s="220" t="str">
        <f t="shared" si="376"/>
        <v>2</v>
      </c>
      <c r="AI465" s="220"/>
      <c r="AJ465" s="221" t="str">
        <f t="shared" ref="AJ465:AJ470" si="389">IF(S465&gt;0,"1",IF(Y465&gt;0,"1","2"))</f>
        <v>2</v>
      </c>
      <c r="AK465" s="220" t="e">
        <f t="shared" ref="AK465:AK545" si="390">CONCATENATE(AG465,".",AH465,".",AI465,".",AJ465)</f>
        <v>#VALUE!</v>
      </c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1:61" ht="16.5" customHeight="1" outlineLevel="2">
      <c r="A466" s="207">
        <f t="shared" si="381"/>
        <v>434</v>
      </c>
      <c r="B466" s="207">
        <v>2</v>
      </c>
      <c r="C466" s="245" t="s">
        <v>1778</v>
      </c>
      <c r="D466" s="209">
        <v>2261.5249059344965</v>
      </c>
      <c r="E466" s="504" t="s">
        <v>91</v>
      </c>
      <c r="F466" s="213">
        <f t="shared" si="382"/>
        <v>3347</v>
      </c>
      <c r="G466" s="207" t="s">
        <v>1076</v>
      </c>
      <c r="H466" s="223">
        <f t="shared" si="383"/>
        <v>21</v>
      </c>
      <c r="I466" s="248" t="s">
        <v>1779</v>
      </c>
      <c r="J466" s="246">
        <v>0</v>
      </c>
      <c r="K466" s="246">
        <v>0</v>
      </c>
      <c r="L466" s="246">
        <v>3347</v>
      </c>
      <c r="M466" s="213">
        <f t="shared" si="384"/>
        <v>3347</v>
      </c>
      <c r="N466" s="207"/>
      <c r="O466" s="253" t="s">
        <v>1780</v>
      </c>
      <c r="P466" s="230">
        <v>2046</v>
      </c>
      <c r="Q466" s="230">
        <v>0</v>
      </c>
      <c r="R466" s="230">
        <v>2046</v>
      </c>
      <c r="S466" s="213">
        <f t="shared" si="385"/>
        <v>2046</v>
      </c>
      <c r="T466" s="216"/>
      <c r="U466" s="221"/>
      <c r="V466" s="216"/>
      <c r="W466" s="216"/>
      <c r="X466" s="216"/>
      <c r="Y466" s="213">
        <f t="shared" si="386"/>
        <v>0</v>
      </c>
      <c r="Z466" s="222">
        <v>2020</v>
      </c>
      <c r="AA466" s="228"/>
      <c r="AB466" s="218"/>
      <c r="AC466" s="220"/>
      <c r="AD466" s="220"/>
      <c r="AE466" s="220" t="str">
        <f t="shared" si="387"/>
        <v>V</v>
      </c>
      <c r="AF466" s="229"/>
      <c r="AG466" s="220" t="str">
        <f t="shared" si="388"/>
        <v>2</v>
      </c>
      <c r="AH466" s="220" t="str">
        <f t="shared" si="376"/>
        <v>1</v>
      </c>
      <c r="AI466" s="220"/>
      <c r="AJ466" s="221" t="str">
        <f t="shared" si="389"/>
        <v>1</v>
      </c>
      <c r="AK466" s="220" t="str">
        <f t="shared" si="390"/>
        <v>2.1..1</v>
      </c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1:61" ht="16.5" customHeight="1" outlineLevel="2">
      <c r="A467" s="207">
        <f t="shared" si="381"/>
        <v>435</v>
      </c>
      <c r="B467" s="207">
        <v>3</v>
      </c>
      <c r="C467" s="245" t="s">
        <v>1781</v>
      </c>
      <c r="D467" s="209">
        <v>15217.78771214886</v>
      </c>
      <c r="E467" s="504" t="s">
        <v>104</v>
      </c>
      <c r="F467" s="213">
        <f t="shared" si="382"/>
        <v>0</v>
      </c>
      <c r="G467" s="207"/>
      <c r="H467" s="281" t="e">
        <f t="shared" si="383"/>
        <v>#VALUE!</v>
      </c>
      <c r="I467" s="212"/>
      <c r="J467" s="213"/>
      <c r="K467" s="213"/>
      <c r="L467" s="213"/>
      <c r="M467" s="213">
        <f t="shared" si="384"/>
        <v>0</v>
      </c>
      <c r="N467" s="207"/>
      <c r="O467" s="231" t="s">
        <v>1387</v>
      </c>
      <c r="P467" s="230">
        <v>0</v>
      </c>
      <c r="Q467" s="230">
        <v>0</v>
      </c>
      <c r="R467" s="230">
        <v>0</v>
      </c>
      <c r="S467" s="213">
        <f t="shared" si="385"/>
        <v>0</v>
      </c>
      <c r="T467" s="216"/>
      <c r="U467" s="207"/>
      <c r="V467" s="216"/>
      <c r="W467" s="216"/>
      <c r="X467" s="216"/>
      <c r="Y467" s="213">
        <f t="shared" si="386"/>
        <v>0</v>
      </c>
      <c r="Z467" s="222" t="s">
        <v>1097</v>
      </c>
      <c r="AA467" s="228"/>
      <c r="AB467" s="218"/>
      <c r="AC467" s="220"/>
      <c r="AD467" s="220"/>
      <c r="AE467" s="220" t="str">
        <f t="shared" si="387"/>
        <v/>
      </c>
      <c r="AF467" s="229"/>
      <c r="AG467" s="220" t="e">
        <f t="shared" si="388"/>
        <v>#VALUE!</v>
      </c>
      <c r="AH467" s="220" t="str">
        <f t="shared" si="376"/>
        <v>2</v>
      </c>
      <c r="AI467" s="220"/>
      <c r="AJ467" s="221" t="str">
        <f t="shared" si="389"/>
        <v>2</v>
      </c>
      <c r="AK467" s="220" t="e">
        <f t="shared" si="390"/>
        <v>#VALUE!</v>
      </c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1:61" ht="16.5" customHeight="1" outlineLevel="2">
      <c r="A468" s="207">
        <f t="shared" si="381"/>
        <v>436</v>
      </c>
      <c r="B468" s="207">
        <v>4</v>
      </c>
      <c r="C468" s="245" t="s">
        <v>1782</v>
      </c>
      <c r="D468" s="209">
        <v>4760.9958681069966</v>
      </c>
      <c r="E468" s="504" t="s">
        <v>104</v>
      </c>
      <c r="F468" s="213">
        <f t="shared" si="382"/>
        <v>5600</v>
      </c>
      <c r="G468" s="207"/>
      <c r="H468" s="281">
        <f t="shared" si="383"/>
        <v>2013</v>
      </c>
      <c r="I468" s="212" t="s">
        <v>1318</v>
      </c>
      <c r="J468" s="213">
        <v>5600</v>
      </c>
      <c r="K468" s="213">
        <v>0</v>
      </c>
      <c r="L468" s="213">
        <v>5600</v>
      </c>
      <c r="M468" s="213">
        <f t="shared" si="384"/>
        <v>5600</v>
      </c>
      <c r="N468" s="207"/>
      <c r="O468" s="231"/>
      <c r="P468" s="230"/>
      <c r="Q468" s="230"/>
      <c r="R468" s="230"/>
      <c r="S468" s="213">
        <f t="shared" si="385"/>
        <v>0</v>
      </c>
      <c r="T468" s="216"/>
      <c r="U468" s="207"/>
      <c r="V468" s="216"/>
      <c r="W468" s="216"/>
      <c r="X468" s="216"/>
      <c r="Y468" s="213">
        <f t="shared" si="386"/>
        <v>0</v>
      </c>
      <c r="Z468" s="222" t="s">
        <v>1464</v>
      </c>
      <c r="AA468" s="228"/>
      <c r="AB468" s="218"/>
      <c r="AC468" s="220"/>
      <c r="AD468" s="220"/>
      <c r="AE468" s="220" t="str">
        <f t="shared" si="387"/>
        <v/>
      </c>
      <c r="AF468" s="229"/>
      <c r="AG468" s="220" t="str">
        <f t="shared" si="388"/>
        <v>2</v>
      </c>
      <c r="AH468" s="220" t="str">
        <f t="shared" si="376"/>
        <v>1</v>
      </c>
      <c r="AI468" s="220"/>
      <c r="AJ468" s="221" t="str">
        <f t="shared" si="389"/>
        <v>2</v>
      </c>
      <c r="AK468" s="220" t="str">
        <f t="shared" si="390"/>
        <v>2.1..2</v>
      </c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1:61" ht="16.5" customHeight="1" outlineLevel="2">
      <c r="A469" s="207">
        <f t="shared" si="381"/>
        <v>437</v>
      </c>
      <c r="B469" s="207">
        <v>5</v>
      </c>
      <c r="C469" s="245" t="s">
        <v>1783</v>
      </c>
      <c r="D469" s="209">
        <v>1136.0674068317721</v>
      </c>
      <c r="E469" s="504" t="s">
        <v>91</v>
      </c>
      <c r="F469" s="213">
        <f t="shared" si="382"/>
        <v>459</v>
      </c>
      <c r="G469" s="207" t="s">
        <v>1076</v>
      </c>
      <c r="H469" s="223">
        <f t="shared" si="383"/>
        <v>19</v>
      </c>
      <c r="I469" s="248" t="s">
        <v>1784</v>
      </c>
      <c r="J469" s="246">
        <v>0</v>
      </c>
      <c r="K469" s="246">
        <v>0</v>
      </c>
      <c r="L469" s="246">
        <v>459</v>
      </c>
      <c r="M469" s="213">
        <f t="shared" si="384"/>
        <v>459</v>
      </c>
      <c r="N469" s="207"/>
      <c r="O469" s="231"/>
      <c r="P469" s="230"/>
      <c r="Q469" s="230"/>
      <c r="R469" s="230"/>
      <c r="S469" s="213">
        <f t="shared" si="385"/>
        <v>0</v>
      </c>
      <c r="T469" s="216"/>
      <c r="U469" s="207"/>
      <c r="V469" s="216"/>
      <c r="W469" s="216"/>
      <c r="X469" s="216"/>
      <c r="Y469" s="213">
        <f t="shared" si="386"/>
        <v>0</v>
      </c>
      <c r="Z469" s="222">
        <v>2020</v>
      </c>
      <c r="AA469" s="228"/>
      <c r="AB469" s="218"/>
      <c r="AC469" s="220"/>
      <c r="AD469" s="220"/>
      <c r="AE469" s="220" t="str">
        <f t="shared" si="387"/>
        <v>V</v>
      </c>
      <c r="AF469" s="229"/>
      <c r="AG469" s="220" t="str">
        <f t="shared" si="388"/>
        <v>2</v>
      </c>
      <c r="AH469" s="220" t="str">
        <f t="shared" si="376"/>
        <v>1</v>
      </c>
      <c r="AI469" s="220"/>
      <c r="AJ469" s="221" t="str">
        <f t="shared" si="389"/>
        <v>2</v>
      </c>
      <c r="AK469" s="220" t="str">
        <f t="shared" si="390"/>
        <v>2.1..2</v>
      </c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1:61" ht="16.5" customHeight="1" outlineLevel="2">
      <c r="A470" s="207">
        <f t="shared" si="381"/>
        <v>438</v>
      </c>
      <c r="B470" s="207">
        <v>6</v>
      </c>
      <c r="C470" s="245" t="s">
        <v>1785</v>
      </c>
      <c r="D470" s="209">
        <v>4739.4620276536725</v>
      </c>
      <c r="E470" s="504" t="s">
        <v>104</v>
      </c>
      <c r="F470" s="213">
        <f t="shared" si="382"/>
        <v>4739</v>
      </c>
      <c r="G470" s="207"/>
      <c r="H470" s="281" t="e">
        <f t="shared" si="383"/>
        <v>#VALUE!</v>
      </c>
      <c r="I470" s="212"/>
      <c r="J470" s="213"/>
      <c r="K470" s="213"/>
      <c r="L470" s="213"/>
      <c r="M470" s="213">
        <f t="shared" si="384"/>
        <v>0</v>
      </c>
      <c r="N470" s="207"/>
      <c r="O470" s="231" t="s">
        <v>1786</v>
      </c>
      <c r="P470" s="230">
        <v>4739</v>
      </c>
      <c r="Q470" s="230">
        <v>0</v>
      </c>
      <c r="R470" s="230">
        <v>0</v>
      </c>
      <c r="S470" s="213">
        <f t="shared" si="385"/>
        <v>4739</v>
      </c>
      <c r="T470" s="216"/>
      <c r="U470" s="207"/>
      <c r="V470" s="216"/>
      <c r="W470" s="216"/>
      <c r="X470" s="216"/>
      <c r="Y470" s="213">
        <f t="shared" si="386"/>
        <v>0</v>
      </c>
      <c r="Z470" s="222" t="s">
        <v>1347</v>
      </c>
      <c r="AA470" s="228"/>
      <c r="AB470" s="218"/>
      <c r="AC470" s="220"/>
      <c r="AD470" s="220"/>
      <c r="AE470" s="220" t="str">
        <f t="shared" si="387"/>
        <v/>
      </c>
      <c r="AF470" s="229"/>
      <c r="AG470" s="220" t="e">
        <f t="shared" si="388"/>
        <v>#VALUE!</v>
      </c>
      <c r="AH470" s="220" t="str">
        <f t="shared" si="376"/>
        <v>2</v>
      </c>
      <c r="AI470" s="220"/>
      <c r="AJ470" s="221" t="str">
        <f t="shared" si="389"/>
        <v>1</v>
      </c>
      <c r="AK470" s="220" t="e">
        <f t="shared" si="390"/>
        <v>#VALUE!</v>
      </c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1:61" ht="16.5" customHeight="1" outlineLevel="1">
      <c r="A471" s="207"/>
      <c r="B471" s="235"/>
      <c r="C471" s="249" t="s">
        <v>1787</v>
      </c>
      <c r="D471" s="250">
        <f>SUM(D465:D470)</f>
        <v>33055.894263852882</v>
      </c>
      <c r="E471" s="238">
        <f>COUNTIF(E465:E470,"D") + COUNTIF(E465:E470,"DS")</f>
        <v>5</v>
      </c>
      <c r="F471" s="254">
        <f>SUBTOTAL(9,F465:F470)</f>
        <v>14145</v>
      </c>
      <c r="G471" s="201"/>
      <c r="H471" s="240"/>
      <c r="I471" s="264"/>
      <c r="J471" s="254">
        <f t="shared" ref="J471:M471" si="391">SUBTOTAL(9,J466:J470)</f>
        <v>5600</v>
      </c>
      <c r="K471" s="254">
        <f t="shared" si="391"/>
        <v>0</v>
      </c>
      <c r="L471" s="254">
        <f t="shared" si="391"/>
        <v>9406</v>
      </c>
      <c r="M471" s="254">
        <f t="shared" si="391"/>
        <v>9406</v>
      </c>
      <c r="N471" s="201"/>
      <c r="O471" s="236"/>
      <c r="P471" s="255">
        <v>6785</v>
      </c>
      <c r="Q471" s="255">
        <v>0</v>
      </c>
      <c r="R471" s="255">
        <v>2046</v>
      </c>
      <c r="S471" s="254">
        <f>SUBTOTAL(9,S466:S470)</f>
        <v>6785</v>
      </c>
      <c r="T471" s="203"/>
      <c r="U471" s="201"/>
      <c r="V471" s="203">
        <v>6785</v>
      </c>
      <c r="W471" s="203">
        <v>0</v>
      </c>
      <c r="X471" s="203">
        <v>2046</v>
      </c>
      <c r="Y471" s="254">
        <f>SUBTOTAL(9,Y466:Y470)</f>
        <v>0</v>
      </c>
      <c r="Z471" s="243" t="s">
        <v>1138</v>
      </c>
      <c r="AA471" s="228"/>
      <c r="AB471" s="218"/>
      <c r="AC471" s="220"/>
      <c r="AD471" s="220"/>
      <c r="AE471" s="244">
        <f>COUNTIF(AE465:AE470,"V") + COUNTIF(AE465:AE470,"VV") + COUNTIF(AE465:AE470,"VVV")</f>
        <v>2</v>
      </c>
      <c r="AF471" s="229"/>
      <c r="AG471" s="220"/>
      <c r="AH471" s="220" t="str">
        <f t="shared" si="376"/>
        <v>1</v>
      </c>
      <c r="AI471" s="220"/>
      <c r="AJ471" s="221"/>
      <c r="AK471" s="220" t="str">
        <f t="shared" si="390"/>
        <v>.1..</v>
      </c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1:61" ht="16.5" customHeight="1" outlineLevel="2">
      <c r="A472" s="207">
        <f t="shared" ref="A472:A477" si="392">SUBTOTAL(3,$B$6:B472)</f>
        <v>439</v>
      </c>
      <c r="B472" s="207">
        <v>1</v>
      </c>
      <c r="C472" s="245" t="s">
        <v>1788</v>
      </c>
      <c r="D472" s="209">
        <v>739.54241103574157</v>
      </c>
      <c r="E472" s="504" t="s">
        <v>104</v>
      </c>
      <c r="F472" s="213">
        <f t="shared" ref="F472:F476" si="393">IF(M472&gt;0,M472,IF(S472&gt;0,S472,IF(Y472&gt;0,Y472,0)))</f>
        <v>2513</v>
      </c>
      <c r="G472" s="207"/>
      <c r="H472" s="281">
        <f t="shared" ref="H472:H477" si="394">VALUE(RIGHT(I472,4))</f>
        <v>2012</v>
      </c>
      <c r="I472" s="212" t="s">
        <v>682</v>
      </c>
      <c r="J472" s="213">
        <v>2513</v>
      </c>
      <c r="K472" s="213">
        <v>0</v>
      </c>
      <c r="L472" s="213">
        <v>2513</v>
      </c>
      <c r="M472" s="213">
        <f t="shared" ref="M472:M477" si="395">IF(L472&gt;0,L472,IF(J472&gt;0,J472,0))</f>
        <v>2513</v>
      </c>
      <c r="N472" s="207"/>
      <c r="O472" s="231"/>
      <c r="P472" s="230"/>
      <c r="Q472" s="230"/>
      <c r="R472" s="230"/>
      <c r="S472" s="213">
        <f>IF(R472&gt;0,R472,IF(P472&gt;0,P472,0))</f>
        <v>0</v>
      </c>
      <c r="T472" s="216"/>
      <c r="U472" s="207"/>
      <c r="V472" s="216"/>
      <c r="W472" s="216"/>
      <c r="X472" s="216"/>
      <c r="Y472" s="213">
        <f>IF(X472&gt;0,X472,IF(V472&gt;0,V472,0))</f>
        <v>0</v>
      </c>
      <c r="Z472" s="222" t="s">
        <v>1097</v>
      </c>
      <c r="AA472" s="228"/>
      <c r="AB472" s="218"/>
      <c r="AC472" s="220"/>
      <c r="AD472" s="220"/>
      <c r="AE472" s="220" t="str">
        <f t="shared" ref="AE472:AE477" si="396">CONCATENATE(G472,N472,T472)</f>
        <v/>
      </c>
      <c r="AF472" s="229"/>
      <c r="AG472" s="220" t="str">
        <f t="shared" ref="AG472:AG477" si="397">IF(H472=0,"3",IF(H472&lt;=2018,"2","1"))</f>
        <v>2</v>
      </c>
      <c r="AH472" s="220" t="str">
        <f t="shared" si="376"/>
        <v>1</v>
      </c>
      <c r="AI472" s="220"/>
      <c r="AJ472" s="221" t="str">
        <f t="shared" ref="AJ472:AJ477" si="398">IF(S472&gt;0,"1",IF(Y472&gt;0,"1","2"))</f>
        <v>2</v>
      </c>
      <c r="AK472" s="220" t="str">
        <f t="shared" si="390"/>
        <v>2.1..2</v>
      </c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1:61" ht="16.5" customHeight="1" outlineLevel="2">
      <c r="A473" s="207">
        <f t="shared" si="392"/>
        <v>440</v>
      </c>
      <c r="B473" s="207">
        <v>2</v>
      </c>
      <c r="C473" s="245" t="s">
        <v>1789</v>
      </c>
      <c r="D473" s="209">
        <v>10176.075079923938</v>
      </c>
      <c r="E473" s="504" t="s">
        <v>104</v>
      </c>
      <c r="F473" s="213">
        <f t="shared" si="393"/>
        <v>11251</v>
      </c>
      <c r="G473" s="207"/>
      <c r="H473" s="281">
        <f t="shared" si="394"/>
        <v>2015</v>
      </c>
      <c r="I473" s="212" t="s">
        <v>780</v>
      </c>
      <c r="J473" s="213">
        <v>11251</v>
      </c>
      <c r="K473" s="213">
        <v>0</v>
      </c>
      <c r="L473" s="213">
        <v>11251</v>
      </c>
      <c r="M473" s="213">
        <f t="shared" si="395"/>
        <v>11251</v>
      </c>
      <c r="N473" s="207"/>
      <c r="O473" s="524" t="s">
        <v>1790</v>
      </c>
      <c r="P473" s="621" t="s">
        <v>1791</v>
      </c>
      <c r="Q473" s="564"/>
      <c r="R473" s="559"/>
      <c r="S473" s="213"/>
      <c r="T473" s="216"/>
      <c r="U473" s="221"/>
      <c r="V473" s="216"/>
      <c r="W473" s="216"/>
      <c r="X473" s="216"/>
      <c r="Y473" s="213"/>
      <c r="Z473" s="222" t="s">
        <v>1097</v>
      </c>
      <c r="AA473" s="228"/>
      <c r="AB473" s="218"/>
      <c r="AC473" s="220"/>
      <c r="AD473" s="220" t="s">
        <v>1442</v>
      </c>
      <c r="AE473" s="220" t="str">
        <f t="shared" si="396"/>
        <v/>
      </c>
      <c r="AF473" s="229"/>
      <c r="AG473" s="220" t="str">
        <f t="shared" si="397"/>
        <v>2</v>
      </c>
      <c r="AH473" s="220" t="str">
        <f t="shared" si="376"/>
        <v>1</v>
      </c>
      <c r="AI473" s="220"/>
      <c r="AJ473" s="221" t="str">
        <f t="shared" si="398"/>
        <v>2</v>
      </c>
      <c r="AK473" s="220" t="str">
        <f t="shared" si="390"/>
        <v>2.1..2</v>
      </c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1:61" ht="16.5" customHeight="1" outlineLevel="2">
      <c r="A474" s="207">
        <f t="shared" si="392"/>
        <v>441</v>
      </c>
      <c r="B474" s="207">
        <v>3</v>
      </c>
      <c r="C474" s="245" t="s">
        <v>1792</v>
      </c>
      <c r="D474" s="209">
        <v>7471.4539492172134</v>
      </c>
      <c r="E474" s="504" t="s">
        <v>91</v>
      </c>
      <c r="F474" s="213">
        <f t="shared" si="393"/>
        <v>7921</v>
      </c>
      <c r="G474" s="207" t="s">
        <v>1076</v>
      </c>
      <c r="H474" s="223">
        <f t="shared" si="394"/>
        <v>19</v>
      </c>
      <c r="I474" s="248" t="s">
        <v>1793</v>
      </c>
      <c r="J474" s="246"/>
      <c r="K474" s="246"/>
      <c r="L474" s="246">
        <v>7921</v>
      </c>
      <c r="M474" s="213">
        <f t="shared" si="395"/>
        <v>7921</v>
      </c>
      <c r="N474" s="207"/>
      <c r="O474" s="231"/>
      <c r="P474" s="230"/>
      <c r="Q474" s="230"/>
      <c r="R474" s="230"/>
      <c r="S474" s="213">
        <f t="shared" ref="S474:S477" si="399">IF(R474&gt;0,R474,IF(P474&gt;0,P474,0))</f>
        <v>0</v>
      </c>
      <c r="T474" s="216"/>
      <c r="U474" s="207" t="s">
        <v>1794</v>
      </c>
      <c r="V474" s="216">
        <v>9768.02</v>
      </c>
      <c r="W474" s="216"/>
      <c r="X474" s="216"/>
      <c r="Y474" s="213">
        <f t="shared" ref="Y474:Y477" si="400">IF(X474&gt;0,X474,IF(V474&gt;0,V474,0))</f>
        <v>9768.02</v>
      </c>
      <c r="Z474" s="222">
        <v>2020</v>
      </c>
      <c r="AA474" s="228"/>
      <c r="AB474" s="218"/>
      <c r="AC474" s="220"/>
      <c r="AD474" s="220"/>
      <c r="AE474" s="220" t="str">
        <f t="shared" si="396"/>
        <v>V</v>
      </c>
      <c r="AF474" s="229"/>
      <c r="AG474" s="220" t="str">
        <f t="shared" si="397"/>
        <v>2</v>
      </c>
      <c r="AH474" s="220" t="str">
        <f t="shared" si="376"/>
        <v>1</v>
      </c>
      <c r="AI474" s="220"/>
      <c r="AJ474" s="221" t="str">
        <f t="shared" si="398"/>
        <v>1</v>
      </c>
      <c r="AK474" s="220" t="str">
        <f t="shared" si="390"/>
        <v>2.1..1</v>
      </c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1:61" ht="16.5" customHeight="1" outlineLevel="2">
      <c r="A475" s="207">
        <f t="shared" si="392"/>
        <v>442</v>
      </c>
      <c r="B475" s="207">
        <v>4</v>
      </c>
      <c r="C475" s="245" t="s">
        <v>1795</v>
      </c>
      <c r="D475" s="209">
        <v>3671.2411340667823</v>
      </c>
      <c r="E475" s="504" t="s">
        <v>91</v>
      </c>
      <c r="F475" s="213">
        <f t="shared" si="393"/>
        <v>5054.6099999999997</v>
      </c>
      <c r="G475" s="207"/>
      <c r="H475" s="281" t="e">
        <f t="shared" si="394"/>
        <v>#VALUE!</v>
      </c>
      <c r="I475" s="212"/>
      <c r="J475" s="213"/>
      <c r="K475" s="213"/>
      <c r="L475" s="213"/>
      <c r="M475" s="213">
        <f t="shared" si="395"/>
        <v>0</v>
      </c>
      <c r="N475" s="207"/>
      <c r="O475" s="231"/>
      <c r="P475" s="230"/>
      <c r="Q475" s="230"/>
      <c r="R475" s="230"/>
      <c r="S475" s="213">
        <f t="shared" si="399"/>
        <v>0</v>
      </c>
      <c r="T475" s="216" t="s">
        <v>1076</v>
      </c>
      <c r="U475" s="227" t="s">
        <v>784</v>
      </c>
      <c r="V475" s="216">
        <v>5054.6099999999997</v>
      </c>
      <c r="W475" s="216">
        <v>0</v>
      </c>
      <c r="X475" s="216">
        <v>5054.6099999999997</v>
      </c>
      <c r="Y475" s="213">
        <f t="shared" si="400"/>
        <v>5054.6099999999997</v>
      </c>
      <c r="Z475" s="222">
        <v>2020</v>
      </c>
      <c r="AA475" s="228"/>
      <c r="AB475" s="218"/>
      <c r="AC475" s="220"/>
      <c r="AD475" s="220"/>
      <c r="AE475" s="220" t="str">
        <f t="shared" si="396"/>
        <v>V</v>
      </c>
      <c r="AF475" s="229"/>
      <c r="AG475" s="220" t="e">
        <f t="shared" si="397"/>
        <v>#VALUE!</v>
      </c>
      <c r="AH475" s="220" t="str">
        <f t="shared" si="376"/>
        <v>2</v>
      </c>
      <c r="AI475" s="220"/>
      <c r="AJ475" s="221" t="str">
        <f t="shared" si="398"/>
        <v>1</v>
      </c>
      <c r="AK475" s="220" t="e">
        <f t="shared" si="390"/>
        <v>#VALUE!</v>
      </c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1:61" ht="16.5" customHeight="1" outlineLevel="2">
      <c r="A476" s="207">
        <f t="shared" si="392"/>
        <v>443</v>
      </c>
      <c r="B476" s="207">
        <v>5</v>
      </c>
      <c r="C476" s="245" t="s">
        <v>1796</v>
      </c>
      <c r="D476" s="209">
        <v>811.96037385634895</v>
      </c>
      <c r="E476" s="504" t="s">
        <v>104</v>
      </c>
      <c r="F476" s="213">
        <f t="shared" si="393"/>
        <v>5000</v>
      </c>
      <c r="G476" s="207"/>
      <c r="H476" s="281">
        <f t="shared" si="394"/>
        <v>2014</v>
      </c>
      <c r="I476" s="212" t="s">
        <v>321</v>
      </c>
      <c r="J476" s="213">
        <v>5000</v>
      </c>
      <c r="K476" s="213">
        <v>0</v>
      </c>
      <c r="L476" s="213">
        <v>5000</v>
      </c>
      <c r="M476" s="213">
        <f t="shared" si="395"/>
        <v>5000</v>
      </c>
      <c r="N476" s="207"/>
      <c r="O476" s="231"/>
      <c r="P476" s="230"/>
      <c r="Q476" s="230"/>
      <c r="R476" s="230"/>
      <c r="S476" s="213">
        <f t="shared" si="399"/>
        <v>0</v>
      </c>
      <c r="T476" s="216"/>
      <c r="U476" s="207"/>
      <c r="V476" s="216"/>
      <c r="W476" s="216"/>
      <c r="X476" s="216"/>
      <c r="Y476" s="213">
        <f t="shared" si="400"/>
        <v>0</v>
      </c>
      <c r="Z476" s="222" t="s">
        <v>1097</v>
      </c>
      <c r="AA476" s="228"/>
      <c r="AB476" s="218"/>
      <c r="AC476" s="220"/>
      <c r="AD476" s="220" t="s">
        <v>1442</v>
      </c>
      <c r="AE476" s="220" t="str">
        <f t="shared" si="396"/>
        <v/>
      </c>
      <c r="AF476" s="229"/>
      <c r="AG476" s="220" t="str">
        <f t="shared" si="397"/>
        <v>2</v>
      </c>
      <c r="AH476" s="220" t="str">
        <f t="shared" si="376"/>
        <v>1</v>
      </c>
      <c r="AI476" s="220"/>
      <c r="AJ476" s="221" t="str">
        <f t="shared" si="398"/>
        <v>2</v>
      </c>
      <c r="AK476" s="220" t="str">
        <f t="shared" si="390"/>
        <v>2.1..2</v>
      </c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1:61" ht="16.5" customHeight="1" outlineLevel="2">
      <c r="A477" s="207">
        <f t="shared" si="392"/>
        <v>444</v>
      </c>
      <c r="B477" s="207">
        <v>6</v>
      </c>
      <c r="C477" s="245" t="s">
        <v>1797</v>
      </c>
      <c r="D477" s="209">
        <v>16614.710916454202</v>
      </c>
      <c r="E477" s="504" t="s">
        <v>91</v>
      </c>
      <c r="F477" s="213">
        <f>S477</f>
        <v>14111</v>
      </c>
      <c r="G477" s="207"/>
      <c r="H477" s="281">
        <f t="shared" si="394"/>
        <v>2013</v>
      </c>
      <c r="I477" s="212" t="s">
        <v>167</v>
      </c>
      <c r="J477" s="213">
        <v>14000</v>
      </c>
      <c r="K477" s="213">
        <v>0</v>
      </c>
      <c r="L477" s="213">
        <v>14000</v>
      </c>
      <c r="M477" s="213">
        <f t="shared" si="395"/>
        <v>14000</v>
      </c>
      <c r="N477" s="207" t="s">
        <v>1076</v>
      </c>
      <c r="O477" s="253" t="s">
        <v>787</v>
      </c>
      <c r="P477" s="230">
        <v>13504</v>
      </c>
      <c r="Q477" s="230">
        <v>607</v>
      </c>
      <c r="R477" s="230">
        <v>14111</v>
      </c>
      <c r="S477" s="213">
        <f t="shared" si="399"/>
        <v>14111</v>
      </c>
      <c r="T477" s="216"/>
      <c r="U477" s="221"/>
      <c r="V477" s="216"/>
      <c r="W477" s="216"/>
      <c r="X477" s="216"/>
      <c r="Y477" s="213">
        <f t="shared" si="400"/>
        <v>0</v>
      </c>
      <c r="Z477" s="222">
        <v>2020</v>
      </c>
      <c r="AA477" s="228"/>
      <c r="AB477" s="218"/>
      <c r="AC477" s="220"/>
      <c r="AD477" s="220" t="s">
        <v>1798</v>
      </c>
      <c r="AE477" s="220" t="str">
        <f t="shared" si="396"/>
        <v>V</v>
      </c>
      <c r="AF477" s="229"/>
      <c r="AG477" s="220" t="str">
        <f t="shared" si="397"/>
        <v>2</v>
      </c>
      <c r="AH477" s="220" t="str">
        <f t="shared" si="376"/>
        <v>1</v>
      </c>
      <c r="AI477" s="220"/>
      <c r="AJ477" s="221" t="str">
        <f t="shared" si="398"/>
        <v>1</v>
      </c>
      <c r="AK477" s="220" t="str">
        <f t="shared" si="390"/>
        <v>2.1..1</v>
      </c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1:61" ht="16.5" customHeight="1" outlineLevel="1">
      <c r="A478" s="207"/>
      <c r="B478" s="235"/>
      <c r="C478" s="249" t="s">
        <v>1799</v>
      </c>
      <c r="D478" s="250">
        <f>SUM(D472:D477)</f>
        <v>39484.983864554226</v>
      </c>
      <c r="E478" s="238">
        <f>COUNTIF(E472:E477,"D") + COUNTIF(E472:E477,"DS")</f>
        <v>6</v>
      </c>
      <c r="F478" s="254">
        <f>SUBTOTAL(9,F472:F477)</f>
        <v>45850.61</v>
      </c>
      <c r="G478" s="201"/>
      <c r="H478" s="240"/>
      <c r="I478" s="264"/>
      <c r="J478" s="254">
        <f t="shared" ref="J478:M478" si="401">SUBTOTAL(9,J472:J477)</f>
        <v>32764</v>
      </c>
      <c r="K478" s="254">
        <f t="shared" si="401"/>
        <v>0</v>
      </c>
      <c r="L478" s="254">
        <f t="shared" si="401"/>
        <v>40685</v>
      </c>
      <c r="M478" s="254">
        <f t="shared" si="401"/>
        <v>40685</v>
      </c>
      <c r="N478" s="201"/>
      <c r="O478" s="236"/>
      <c r="P478" s="255">
        <v>31634.61</v>
      </c>
      <c r="Q478" s="255">
        <v>607</v>
      </c>
      <c r="R478" s="255">
        <v>32241.61</v>
      </c>
      <c r="S478" s="254">
        <f>SUBTOTAL(9,S472:S477)</f>
        <v>14111</v>
      </c>
      <c r="T478" s="203">
        <v>1</v>
      </c>
      <c r="U478" s="201">
        <v>2</v>
      </c>
      <c r="V478" s="203">
        <v>31634.61</v>
      </c>
      <c r="W478" s="203">
        <v>607</v>
      </c>
      <c r="X478" s="203">
        <v>32241.61</v>
      </c>
      <c r="Y478" s="254">
        <f>SUBTOTAL(9,Y472:Y477)</f>
        <v>14822.630000000001</v>
      </c>
      <c r="Z478" s="243" t="s">
        <v>1138</v>
      </c>
      <c r="AA478" s="228"/>
      <c r="AB478" s="218"/>
      <c r="AC478" s="220"/>
      <c r="AD478" s="220" t="s">
        <v>1800</v>
      </c>
      <c r="AE478" s="244">
        <f>COUNTIF(AE472:AE477,"V") + COUNTIF(AE472:AE477,"VV") + COUNTIF(AE472:AE477,"VVV")</f>
        <v>3</v>
      </c>
      <c r="AF478" s="229"/>
      <c r="AG478" s="220"/>
      <c r="AH478" s="220" t="str">
        <f t="shared" si="376"/>
        <v>1</v>
      </c>
      <c r="AI478" s="220"/>
      <c r="AJ478" s="221"/>
      <c r="AK478" s="220" t="str">
        <f t="shared" si="390"/>
        <v>.1..</v>
      </c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1:61" ht="16.5" customHeight="1" outlineLevel="2">
      <c r="A479" s="207">
        <f t="shared" ref="A479:A489" si="402">SUBTOTAL(3,$B$6:B479)</f>
        <v>445</v>
      </c>
      <c r="B479" s="207">
        <v>1</v>
      </c>
      <c r="C479" s="245" t="s">
        <v>1801</v>
      </c>
      <c r="D479" s="209">
        <v>7327.9536468317128</v>
      </c>
      <c r="E479" s="504" t="s">
        <v>104</v>
      </c>
      <c r="F479" s="213">
        <f t="shared" ref="F479:F489" si="403">IF(M479&gt;0,M479,IF(S479&gt;0,S479,IF(Y479&gt;0,Y479,0)))</f>
        <v>0</v>
      </c>
      <c r="G479" s="207"/>
      <c r="H479" s="281" t="e">
        <f t="shared" ref="H479:H489" si="404">VALUE(RIGHT(I479,4))</f>
        <v>#VALUE!</v>
      </c>
      <c r="I479" s="212"/>
      <c r="J479" s="213"/>
      <c r="K479" s="213"/>
      <c r="L479" s="213"/>
      <c r="M479" s="213">
        <f t="shared" ref="M479:M489" si="405">IF(L479&gt;0,L479,IF(J479&gt;0,J479,0))</f>
        <v>0</v>
      </c>
      <c r="N479" s="207"/>
      <c r="O479" s="231" t="s">
        <v>868</v>
      </c>
      <c r="P479" s="230">
        <v>0</v>
      </c>
      <c r="Q479" s="230">
        <v>0</v>
      </c>
      <c r="R479" s="230">
        <v>0</v>
      </c>
      <c r="S479" s="213">
        <f t="shared" ref="S479:S487" si="406">IF(R479&gt;0,R479,IF(P479&gt;0,P479,0))</f>
        <v>0</v>
      </c>
      <c r="T479" s="216"/>
      <c r="U479" s="207"/>
      <c r="V479" s="216"/>
      <c r="W479" s="216"/>
      <c r="X479" s="216"/>
      <c r="Y479" s="213">
        <f t="shared" ref="Y479:Y487" si="407">IF(X479&gt;0,X479,IF(V479&gt;0,V479,0))</f>
        <v>0</v>
      </c>
      <c r="Z479" s="222">
        <v>2023</v>
      </c>
      <c r="AA479" s="228" t="s">
        <v>1090</v>
      </c>
      <c r="AB479" s="218"/>
      <c r="AC479" s="220"/>
      <c r="AD479" s="220"/>
      <c r="AE479" s="220" t="str">
        <f t="shared" ref="AE479:AE489" si="408">CONCATENATE(G479,N479,T479)</f>
        <v/>
      </c>
      <c r="AF479" s="229"/>
      <c r="AG479" s="220" t="e">
        <f t="shared" ref="AG479:AG489" si="409">IF(H479=0,"3",IF(H479&lt;=2018,"2","1"))</f>
        <v>#VALUE!</v>
      </c>
      <c r="AH479" s="220" t="str">
        <f t="shared" si="376"/>
        <v>2</v>
      </c>
      <c r="AI479" s="220"/>
      <c r="AJ479" s="221" t="str">
        <f t="shared" ref="AJ479:AJ489" si="410">IF(S479&gt;0,"1",IF(Y479&gt;0,"1","2"))</f>
        <v>2</v>
      </c>
      <c r="AK479" s="220" t="e">
        <f t="shared" si="390"/>
        <v>#VALUE!</v>
      </c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1:61" ht="16.5" customHeight="1" outlineLevel="2">
      <c r="A480" s="207">
        <f t="shared" si="402"/>
        <v>446</v>
      </c>
      <c r="B480" s="207">
        <v>2</v>
      </c>
      <c r="C480" s="245" t="s">
        <v>1802</v>
      </c>
      <c r="D480" s="209">
        <v>0</v>
      </c>
      <c r="E480" s="504" t="s">
        <v>661</v>
      </c>
      <c r="F480" s="213">
        <f t="shared" si="403"/>
        <v>0</v>
      </c>
      <c r="G480" s="207"/>
      <c r="H480" s="281" t="e">
        <f t="shared" si="404"/>
        <v>#VALUE!</v>
      </c>
      <c r="I480" s="212"/>
      <c r="J480" s="213"/>
      <c r="K480" s="213"/>
      <c r="L480" s="213"/>
      <c r="M480" s="213">
        <f t="shared" si="405"/>
        <v>0</v>
      </c>
      <c r="N480" s="207"/>
      <c r="O480" s="231"/>
      <c r="P480" s="230"/>
      <c r="Q480" s="230"/>
      <c r="R480" s="230"/>
      <c r="S480" s="213">
        <f t="shared" si="406"/>
        <v>0</v>
      </c>
      <c r="T480" s="216"/>
      <c r="U480" s="207"/>
      <c r="V480" s="216"/>
      <c r="W480" s="216"/>
      <c r="X480" s="216"/>
      <c r="Y480" s="213">
        <f t="shared" si="407"/>
        <v>0</v>
      </c>
      <c r="Z480" s="222" t="s">
        <v>1097</v>
      </c>
      <c r="AA480" s="228"/>
      <c r="AB480" s="218"/>
      <c r="AC480" s="220"/>
      <c r="AD480" s="220"/>
      <c r="AE480" s="220" t="str">
        <f t="shared" si="408"/>
        <v/>
      </c>
      <c r="AF480" s="229"/>
      <c r="AG480" s="220" t="e">
        <f t="shared" si="409"/>
        <v>#VALUE!</v>
      </c>
      <c r="AH480" s="220" t="str">
        <f t="shared" si="376"/>
        <v>2</v>
      </c>
      <c r="AI480" s="220"/>
      <c r="AJ480" s="221" t="str">
        <f t="shared" si="410"/>
        <v>2</v>
      </c>
      <c r="AK480" s="220" t="e">
        <f t="shared" si="390"/>
        <v>#VALUE!</v>
      </c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1:61" ht="16.5" customHeight="1" outlineLevel="2">
      <c r="A481" s="207">
        <f t="shared" si="402"/>
        <v>447</v>
      </c>
      <c r="B481" s="207">
        <v>3</v>
      </c>
      <c r="C481" s="245" t="s">
        <v>1803</v>
      </c>
      <c r="D481" s="209">
        <v>0</v>
      </c>
      <c r="E481" s="504" t="s">
        <v>104</v>
      </c>
      <c r="F481" s="213">
        <f t="shared" si="403"/>
        <v>1189</v>
      </c>
      <c r="G481" s="207"/>
      <c r="H481" s="281">
        <f t="shared" si="404"/>
        <v>2012</v>
      </c>
      <c r="I481" s="212" t="s">
        <v>828</v>
      </c>
      <c r="J481" s="213">
        <v>1189</v>
      </c>
      <c r="K481" s="213">
        <v>0</v>
      </c>
      <c r="L481" s="213">
        <v>1189</v>
      </c>
      <c r="M481" s="213">
        <f t="shared" si="405"/>
        <v>1189</v>
      </c>
      <c r="N481" s="207"/>
      <c r="O481" s="231"/>
      <c r="P481" s="230"/>
      <c r="Q481" s="230"/>
      <c r="R481" s="230"/>
      <c r="S481" s="213">
        <f t="shared" si="406"/>
        <v>0</v>
      </c>
      <c r="T481" s="216"/>
      <c r="U481" s="207"/>
      <c r="V481" s="216"/>
      <c r="W481" s="216"/>
      <c r="X481" s="216"/>
      <c r="Y481" s="213">
        <f t="shared" si="407"/>
        <v>0</v>
      </c>
      <c r="Z481" s="222" t="s">
        <v>1097</v>
      </c>
      <c r="AA481" s="228"/>
      <c r="AB481" s="218"/>
      <c r="AC481" s="220"/>
      <c r="AD481" s="220"/>
      <c r="AE481" s="220" t="str">
        <f t="shared" si="408"/>
        <v/>
      </c>
      <c r="AF481" s="229"/>
      <c r="AG481" s="220" t="str">
        <f t="shared" si="409"/>
        <v>2</v>
      </c>
      <c r="AH481" s="220" t="str">
        <f t="shared" si="376"/>
        <v>1</v>
      </c>
      <c r="AI481" s="220"/>
      <c r="AJ481" s="221" t="str">
        <f t="shared" si="410"/>
        <v>2</v>
      </c>
      <c r="AK481" s="220" t="str">
        <f t="shared" si="390"/>
        <v>2.1..2</v>
      </c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1:61" ht="16.5" customHeight="1" outlineLevel="2">
      <c r="A482" s="207">
        <f t="shared" si="402"/>
        <v>448</v>
      </c>
      <c r="B482" s="207">
        <v>4</v>
      </c>
      <c r="C482" s="245" t="s">
        <v>1804</v>
      </c>
      <c r="D482" s="209">
        <v>0</v>
      </c>
      <c r="E482" s="504" t="s">
        <v>661</v>
      </c>
      <c r="F482" s="213">
        <f t="shared" si="403"/>
        <v>0</v>
      </c>
      <c r="G482" s="207"/>
      <c r="H482" s="281" t="e">
        <f t="shared" si="404"/>
        <v>#VALUE!</v>
      </c>
      <c r="I482" s="212"/>
      <c r="J482" s="213"/>
      <c r="K482" s="213"/>
      <c r="L482" s="213"/>
      <c r="M482" s="213">
        <f t="shared" si="405"/>
        <v>0</v>
      </c>
      <c r="N482" s="207"/>
      <c r="O482" s="231"/>
      <c r="P482" s="230"/>
      <c r="Q482" s="230"/>
      <c r="R482" s="230"/>
      <c r="S482" s="213">
        <f t="shared" si="406"/>
        <v>0</v>
      </c>
      <c r="T482" s="216"/>
      <c r="U482" s="207"/>
      <c r="V482" s="216"/>
      <c r="W482" s="216"/>
      <c r="X482" s="216"/>
      <c r="Y482" s="213">
        <f t="shared" si="407"/>
        <v>0</v>
      </c>
      <c r="Z482" s="222" t="s">
        <v>1097</v>
      </c>
      <c r="AA482" s="228"/>
      <c r="AB482" s="218"/>
      <c r="AC482" s="220"/>
      <c r="AD482" s="220"/>
      <c r="AE482" s="220" t="str">
        <f t="shared" si="408"/>
        <v/>
      </c>
      <c r="AF482" s="229"/>
      <c r="AG482" s="220" t="e">
        <f t="shared" si="409"/>
        <v>#VALUE!</v>
      </c>
      <c r="AH482" s="220" t="str">
        <f t="shared" si="376"/>
        <v>2</v>
      </c>
      <c r="AI482" s="220"/>
      <c r="AJ482" s="221" t="str">
        <f t="shared" si="410"/>
        <v>2</v>
      </c>
      <c r="AK482" s="220" t="e">
        <f t="shared" si="390"/>
        <v>#VALUE!</v>
      </c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1:61" ht="16.5" customHeight="1" outlineLevel="2">
      <c r="A483" s="207">
        <f t="shared" si="402"/>
        <v>449</v>
      </c>
      <c r="B483" s="207">
        <v>5</v>
      </c>
      <c r="C483" s="245" t="s">
        <v>1805</v>
      </c>
      <c r="D483" s="209">
        <v>0</v>
      </c>
      <c r="E483" s="504" t="s">
        <v>661</v>
      </c>
      <c r="F483" s="213">
        <f t="shared" si="403"/>
        <v>0</v>
      </c>
      <c r="G483" s="207"/>
      <c r="H483" s="281" t="e">
        <f t="shared" si="404"/>
        <v>#VALUE!</v>
      </c>
      <c r="I483" s="212"/>
      <c r="J483" s="213"/>
      <c r="K483" s="213"/>
      <c r="L483" s="213"/>
      <c r="M483" s="213">
        <f t="shared" si="405"/>
        <v>0</v>
      </c>
      <c r="N483" s="207"/>
      <c r="O483" s="231"/>
      <c r="P483" s="230"/>
      <c r="Q483" s="230"/>
      <c r="R483" s="230"/>
      <c r="S483" s="213">
        <f t="shared" si="406"/>
        <v>0</v>
      </c>
      <c r="T483" s="216"/>
      <c r="U483" s="207"/>
      <c r="V483" s="216"/>
      <c r="W483" s="216"/>
      <c r="X483" s="216"/>
      <c r="Y483" s="213">
        <f t="shared" si="407"/>
        <v>0</v>
      </c>
      <c r="Z483" s="222" t="s">
        <v>1097</v>
      </c>
      <c r="AA483" s="228"/>
      <c r="AB483" s="218"/>
      <c r="AC483" s="220"/>
      <c r="AD483" s="220"/>
      <c r="AE483" s="220" t="str">
        <f t="shared" si="408"/>
        <v/>
      </c>
      <c r="AF483" s="229"/>
      <c r="AG483" s="220" t="e">
        <f t="shared" si="409"/>
        <v>#VALUE!</v>
      </c>
      <c r="AH483" s="220" t="str">
        <f t="shared" si="376"/>
        <v>2</v>
      </c>
      <c r="AI483" s="220"/>
      <c r="AJ483" s="221" t="str">
        <f t="shared" si="410"/>
        <v>2</v>
      </c>
      <c r="AK483" s="220" t="e">
        <f t="shared" si="390"/>
        <v>#VALUE!</v>
      </c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1:61" ht="16.5" customHeight="1" outlineLevel="2">
      <c r="A484" s="207">
        <f t="shared" si="402"/>
        <v>450</v>
      </c>
      <c r="B484" s="207">
        <v>6</v>
      </c>
      <c r="C484" s="245" t="s">
        <v>1806</v>
      </c>
      <c r="D484" s="209">
        <v>0</v>
      </c>
      <c r="E484" s="504" t="s">
        <v>104</v>
      </c>
      <c r="F484" s="213">
        <f t="shared" si="403"/>
        <v>0</v>
      </c>
      <c r="G484" s="207"/>
      <c r="H484" s="281" t="e">
        <f t="shared" si="404"/>
        <v>#VALUE!</v>
      </c>
      <c r="I484" s="212"/>
      <c r="J484" s="213"/>
      <c r="K484" s="213"/>
      <c r="L484" s="213"/>
      <c r="M484" s="213">
        <f t="shared" si="405"/>
        <v>0</v>
      </c>
      <c r="N484" s="207"/>
      <c r="O484" s="231" t="s">
        <v>149</v>
      </c>
      <c r="P484" s="230">
        <v>0</v>
      </c>
      <c r="Q484" s="230">
        <v>0</v>
      </c>
      <c r="R484" s="230">
        <v>0</v>
      </c>
      <c r="S484" s="213">
        <f t="shared" si="406"/>
        <v>0</v>
      </c>
      <c r="T484" s="216"/>
      <c r="U484" s="207"/>
      <c r="V484" s="216"/>
      <c r="W484" s="216"/>
      <c r="X484" s="216"/>
      <c r="Y484" s="213">
        <f t="shared" si="407"/>
        <v>0</v>
      </c>
      <c r="Z484" s="222" t="s">
        <v>1097</v>
      </c>
      <c r="AA484" s="228"/>
      <c r="AB484" s="218"/>
      <c r="AC484" s="220"/>
      <c r="AD484" s="220"/>
      <c r="AE484" s="220" t="str">
        <f t="shared" si="408"/>
        <v/>
      </c>
      <c r="AF484" s="229"/>
      <c r="AG484" s="220" t="e">
        <f t="shared" si="409"/>
        <v>#VALUE!</v>
      </c>
      <c r="AH484" s="220" t="str">
        <f t="shared" si="376"/>
        <v>2</v>
      </c>
      <c r="AI484" s="220"/>
      <c r="AJ484" s="221" t="str">
        <f t="shared" si="410"/>
        <v>2</v>
      </c>
      <c r="AK484" s="220" t="e">
        <f t="shared" si="390"/>
        <v>#VALUE!</v>
      </c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1:61" ht="16.5" customHeight="1" outlineLevel="2">
      <c r="A485" s="207">
        <f t="shared" si="402"/>
        <v>451</v>
      </c>
      <c r="B485" s="207">
        <v>7</v>
      </c>
      <c r="C485" s="245" t="s">
        <v>1807</v>
      </c>
      <c r="D485" s="209">
        <v>8120.3023945354835</v>
      </c>
      <c r="E485" s="504" t="s">
        <v>104</v>
      </c>
      <c r="F485" s="213">
        <f t="shared" si="403"/>
        <v>15000</v>
      </c>
      <c r="G485" s="207"/>
      <c r="H485" s="281">
        <f t="shared" si="404"/>
        <v>2012</v>
      </c>
      <c r="I485" s="212" t="s">
        <v>315</v>
      </c>
      <c r="J485" s="213">
        <v>15000</v>
      </c>
      <c r="K485" s="213">
        <v>0</v>
      </c>
      <c r="L485" s="213">
        <v>15000</v>
      </c>
      <c r="M485" s="213">
        <f t="shared" si="405"/>
        <v>15000</v>
      </c>
      <c r="N485" s="207"/>
      <c r="O485" s="253" t="s">
        <v>805</v>
      </c>
      <c r="P485" s="230">
        <v>0</v>
      </c>
      <c r="Q485" s="230">
        <v>0</v>
      </c>
      <c r="R485" s="230">
        <v>0</v>
      </c>
      <c r="S485" s="213">
        <f t="shared" si="406"/>
        <v>0</v>
      </c>
      <c r="T485" s="216"/>
      <c r="U485" s="221"/>
      <c r="V485" s="216"/>
      <c r="W485" s="216"/>
      <c r="X485" s="216"/>
      <c r="Y485" s="213">
        <f t="shared" si="407"/>
        <v>0</v>
      </c>
      <c r="Z485" s="222">
        <v>2023</v>
      </c>
      <c r="AA485" s="228" t="s">
        <v>1090</v>
      </c>
      <c r="AB485" s="218"/>
      <c r="AC485" s="220"/>
      <c r="AD485" s="220"/>
      <c r="AE485" s="220" t="str">
        <f t="shared" si="408"/>
        <v/>
      </c>
      <c r="AF485" s="229"/>
      <c r="AG485" s="220" t="str">
        <f t="shared" si="409"/>
        <v>2</v>
      </c>
      <c r="AH485" s="220" t="str">
        <f t="shared" si="376"/>
        <v>1</v>
      </c>
      <c r="AI485" s="220"/>
      <c r="AJ485" s="221" t="str">
        <f t="shared" si="410"/>
        <v>2</v>
      </c>
      <c r="AK485" s="220" t="str">
        <f t="shared" si="390"/>
        <v>2.1..2</v>
      </c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1:61" ht="16.5" customHeight="1" outlineLevel="2">
      <c r="A486" s="207">
        <f t="shared" si="402"/>
        <v>452</v>
      </c>
      <c r="B486" s="207">
        <v>8</v>
      </c>
      <c r="C486" s="245" t="s">
        <v>1808</v>
      </c>
      <c r="D486" s="209">
        <v>0</v>
      </c>
      <c r="E486" s="504" t="s">
        <v>104</v>
      </c>
      <c r="F486" s="213">
        <f t="shared" si="403"/>
        <v>2840</v>
      </c>
      <c r="G486" s="207"/>
      <c r="H486" s="281" t="e">
        <f t="shared" si="404"/>
        <v>#VALUE!</v>
      </c>
      <c r="I486" s="212"/>
      <c r="J486" s="213"/>
      <c r="K486" s="213"/>
      <c r="L486" s="213"/>
      <c r="M486" s="213">
        <f t="shared" si="405"/>
        <v>0</v>
      </c>
      <c r="N486" s="207"/>
      <c r="O486" s="231" t="s">
        <v>1809</v>
      </c>
      <c r="P486" s="230">
        <v>2840</v>
      </c>
      <c r="Q486" s="230">
        <v>0</v>
      </c>
      <c r="R486" s="230">
        <v>0</v>
      </c>
      <c r="S486" s="213">
        <f t="shared" si="406"/>
        <v>2840</v>
      </c>
      <c r="T486" s="216"/>
      <c r="U486" s="207"/>
      <c r="V486" s="216"/>
      <c r="W486" s="216"/>
      <c r="X486" s="216"/>
      <c r="Y486" s="213">
        <f t="shared" si="407"/>
        <v>0</v>
      </c>
      <c r="Z486" s="222" t="s">
        <v>1097</v>
      </c>
      <c r="AA486" s="228"/>
      <c r="AB486" s="218"/>
      <c r="AC486" s="220"/>
      <c r="AD486" s="220"/>
      <c r="AE486" s="220" t="str">
        <f t="shared" si="408"/>
        <v/>
      </c>
      <c r="AF486" s="229"/>
      <c r="AG486" s="220" t="e">
        <f t="shared" si="409"/>
        <v>#VALUE!</v>
      </c>
      <c r="AH486" s="220" t="str">
        <f t="shared" si="376"/>
        <v>2</v>
      </c>
      <c r="AI486" s="220"/>
      <c r="AJ486" s="221" t="str">
        <f t="shared" si="410"/>
        <v>1</v>
      </c>
      <c r="AK486" s="220" t="e">
        <f t="shared" si="390"/>
        <v>#VALUE!</v>
      </c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1:61" ht="16.5" customHeight="1" outlineLevel="2">
      <c r="A487" s="207">
        <f t="shared" si="402"/>
        <v>453</v>
      </c>
      <c r="B487" s="207">
        <v>9</v>
      </c>
      <c r="C487" s="245" t="s">
        <v>1810</v>
      </c>
      <c r="D487" s="209">
        <v>0</v>
      </c>
      <c r="E487" s="504" t="s">
        <v>104</v>
      </c>
      <c r="F487" s="213">
        <f t="shared" si="403"/>
        <v>0</v>
      </c>
      <c r="G487" s="207"/>
      <c r="H487" s="281" t="e">
        <f t="shared" si="404"/>
        <v>#VALUE!</v>
      </c>
      <c r="I487" s="212"/>
      <c r="J487" s="213"/>
      <c r="K487" s="213"/>
      <c r="L487" s="213"/>
      <c r="M487" s="213">
        <f t="shared" si="405"/>
        <v>0</v>
      </c>
      <c r="N487" s="207"/>
      <c r="O487" s="231" t="s">
        <v>1811</v>
      </c>
      <c r="P487" s="230">
        <v>0</v>
      </c>
      <c r="Q487" s="230">
        <v>0</v>
      </c>
      <c r="R487" s="230">
        <v>0</v>
      </c>
      <c r="S487" s="213">
        <f t="shared" si="406"/>
        <v>0</v>
      </c>
      <c r="T487" s="216"/>
      <c r="U487" s="207"/>
      <c r="V487" s="216"/>
      <c r="W487" s="216"/>
      <c r="X487" s="216"/>
      <c r="Y487" s="213">
        <f t="shared" si="407"/>
        <v>0</v>
      </c>
      <c r="Z487" s="222" t="s">
        <v>1097</v>
      </c>
      <c r="AA487" s="228"/>
      <c r="AB487" s="218"/>
      <c r="AC487" s="220"/>
      <c r="AD487" s="220"/>
      <c r="AE487" s="220" t="str">
        <f t="shared" si="408"/>
        <v/>
      </c>
      <c r="AF487" s="229"/>
      <c r="AG487" s="220" t="e">
        <f t="shared" si="409"/>
        <v>#VALUE!</v>
      </c>
      <c r="AH487" s="220" t="str">
        <f t="shared" si="376"/>
        <v>2</v>
      </c>
      <c r="AI487" s="220"/>
      <c r="AJ487" s="221" t="str">
        <f t="shared" si="410"/>
        <v>2</v>
      </c>
      <c r="AK487" s="220" t="e">
        <f t="shared" si="390"/>
        <v>#VALUE!</v>
      </c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1:61" ht="16.5" customHeight="1" outlineLevel="2">
      <c r="A488" s="207">
        <f t="shared" si="402"/>
        <v>454</v>
      </c>
      <c r="B488" s="207">
        <v>10</v>
      </c>
      <c r="C488" s="245" t="s">
        <v>1812</v>
      </c>
      <c r="D488" s="209">
        <v>988.61403650035447</v>
      </c>
      <c r="E488" s="504" t="s">
        <v>123</v>
      </c>
      <c r="F488" s="213">
        <f t="shared" si="403"/>
        <v>0</v>
      </c>
      <c r="G488" s="207"/>
      <c r="H488" s="281" t="e">
        <f t="shared" si="404"/>
        <v>#VALUE!</v>
      </c>
      <c r="I488" s="212"/>
      <c r="J488" s="213"/>
      <c r="K488" s="213"/>
      <c r="L488" s="213"/>
      <c r="M488" s="213">
        <f t="shared" si="405"/>
        <v>0</v>
      </c>
      <c r="N488" s="207"/>
      <c r="O488" s="231" t="s">
        <v>837</v>
      </c>
      <c r="P488" s="621" t="s">
        <v>1813</v>
      </c>
      <c r="Q488" s="564"/>
      <c r="R488" s="559"/>
      <c r="S488" s="213"/>
      <c r="T488" s="216"/>
      <c r="U488" s="207"/>
      <c r="V488" s="216"/>
      <c r="W488" s="216"/>
      <c r="X488" s="216"/>
      <c r="Y488" s="213"/>
      <c r="Z488" s="222" t="s">
        <v>1097</v>
      </c>
      <c r="AA488" s="228"/>
      <c r="AB488" s="218"/>
      <c r="AC488" s="220"/>
      <c r="AD488" s="220"/>
      <c r="AE488" s="220" t="str">
        <f t="shared" si="408"/>
        <v/>
      </c>
      <c r="AF488" s="229"/>
      <c r="AG488" s="220" t="e">
        <f t="shared" si="409"/>
        <v>#VALUE!</v>
      </c>
      <c r="AH488" s="220" t="str">
        <f t="shared" si="376"/>
        <v>2</v>
      </c>
      <c r="AI488" s="220"/>
      <c r="AJ488" s="221" t="str">
        <f t="shared" si="410"/>
        <v>2</v>
      </c>
      <c r="AK488" s="220" t="e">
        <f t="shared" si="390"/>
        <v>#VALUE!</v>
      </c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1:61" ht="16.5" customHeight="1" outlineLevel="2">
      <c r="A489" s="207">
        <f t="shared" si="402"/>
        <v>455</v>
      </c>
      <c r="B489" s="207">
        <v>11</v>
      </c>
      <c r="C489" s="245" t="s">
        <v>1814</v>
      </c>
      <c r="D489" s="209">
        <v>1846.5341213579313</v>
      </c>
      <c r="E489" s="504" t="s">
        <v>661</v>
      </c>
      <c r="F489" s="213">
        <f t="shared" si="403"/>
        <v>0</v>
      </c>
      <c r="G489" s="207"/>
      <c r="H489" s="281" t="e">
        <f t="shared" si="404"/>
        <v>#VALUE!</v>
      </c>
      <c r="I489" s="212"/>
      <c r="J489" s="213"/>
      <c r="K489" s="213"/>
      <c r="L489" s="213"/>
      <c r="M489" s="213">
        <f t="shared" si="405"/>
        <v>0</v>
      </c>
      <c r="N489" s="207"/>
      <c r="O489" s="231"/>
      <c r="P489" s="230"/>
      <c r="Q489" s="230"/>
      <c r="R489" s="230"/>
      <c r="S489" s="213">
        <f>IF(R489&gt;0,R489,IF(P489&gt;0,P489,0))</f>
        <v>0</v>
      </c>
      <c r="T489" s="216"/>
      <c r="U489" s="207"/>
      <c r="V489" s="216"/>
      <c r="W489" s="216"/>
      <c r="X489" s="216"/>
      <c r="Y489" s="213">
        <f>IF(X489&gt;0,X489,IF(V489&gt;0,V489,0))</f>
        <v>0</v>
      </c>
      <c r="Z489" s="222" t="s">
        <v>1097</v>
      </c>
      <c r="AA489" s="228"/>
      <c r="AB489" s="218"/>
      <c r="AC489" s="220"/>
      <c r="AD489" s="220"/>
      <c r="AE489" s="220" t="str">
        <f t="shared" si="408"/>
        <v/>
      </c>
      <c r="AF489" s="229"/>
      <c r="AG489" s="220" t="e">
        <f t="shared" si="409"/>
        <v>#VALUE!</v>
      </c>
      <c r="AH489" s="220" t="str">
        <f t="shared" si="376"/>
        <v>2</v>
      </c>
      <c r="AI489" s="220"/>
      <c r="AJ489" s="221" t="str">
        <f t="shared" si="410"/>
        <v>2</v>
      </c>
      <c r="AK489" s="220" t="e">
        <f t="shared" si="390"/>
        <v>#VALUE!</v>
      </c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1:61" ht="16.5" customHeight="1" outlineLevel="1">
      <c r="A490" s="207"/>
      <c r="B490" s="201"/>
      <c r="C490" s="249" t="s">
        <v>1815</v>
      </c>
      <c r="D490" s="250">
        <f>SUM(D479:D489)</f>
        <v>18283.404199225482</v>
      </c>
      <c r="E490" s="238">
        <f>COUNTIF(E479:E489,"D") + COUNTIF(E479:E489,"DS")</f>
        <v>6</v>
      </c>
      <c r="F490" s="254">
        <f>SUBTOTAL(9,F479:F489)</f>
        <v>19029</v>
      </c>
      <c r="G490" s="201"/>
      <c r="H490" s="240"/>
      <c r="I490" s="264"/>
      <c r="J490" s="254">
        <f t="shared" ref="J490:M490" si="411">SUBTOTAL(9,J479:J487)</f>
        <v>16189</v>
      </c>
      <c r="K490" s="254">
        <f t="shared" si="411"/>
        <v>0</v>
      </c>
      <c r="L490" s="254">
        <f t="shared" si="411"/>
        <v>16189</v>
      </c>
      <c r="M490" s="254">
        <f t="shared" si="411"/>
        <v>16189</v>
      </c>
      <c r="N490" s="201"/>
      <c r="O490" s="236"/>
      <c r="P490" s="255">
        <v>2840</v>
      </c>
      <c r="Q490" s="255">
        <v>0</v>
      </c>
      <c r="R490" s="255">
        <v>0</v>
      </c>
      <c r="S490" s="254">
        <f>SUBTOTAL(9,S479:S487)</f>
        <v>2840</v>
      </c>
      <c r="T490" s="203"/>
      <c r="U490" s="201"/>
      <c r="V490" s="203">
        <v>2840</v>
      </c>
      <c r="W490" s="203">
        <v>0</v>
      </c>
      <c r="X490" s="203">
        <v>0</v>
      </c>
      <c r="Y490" s="254">
        <f>SUBTOTAL(9,Y479:Y487)</f>
        <v>0</v>
      </c>
      <c r="Z490" s="243" t="s">
        <v>1138</v>
      </c>
      <c r="AA490" s="228"/>
      <c r="AB490" s="218"/>
      <c r="AC490" s="220"/>
      <c r="AD490" s="220"/>
      <c r="AE490" s="244">
        <f>COUNTIF(AE479:AE489,"V") + COUNTIF(AE479:AE489,"VV") + COUNTIF(AE479:AE489,"VVV")</f>
        <v>0</v>
      </c>
      <c r="AF490" s="229"/>
      <c r="AG490" s="220"/>
      <c r="AH490" s="220" t="str">
        <f t="shared" si="376"/>
        <v>1</v>
      </c>
      <c r="AI490" s="220"/>
      <c r="AJ490" s="221"/>
      <c r="AK490" s="220" t="str">
        <f t="shared" si="390"/>
        <v>.1..</v>
      </c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1:61" ht="16.5" customHeight="1" outlineLevel="2">
      <c r="A491" s="207">
        <f t="shared" ref="A491:A500" si="412">SUBTOTAL(3,$B$6:B491)</f>
        <v>456</v>
      </c>
      <c r="B491" s="207">
        <v>1</v>
      </c>
      <c r="C491" s="245" t="s">
        <v>1816</v>
      </c>
      <c r="D491" s="209">
        <v>1128.353817535469</v>
      </c>
      <c r="E491" s="504" t="s">
        <v>104</v>
      </c>
      <c r="F491" s="213">
        <f t="shared" ref="F491:F500" si="413">IF(M491&gt;0,M491,IF(S491&gt;0,S491,IF(Y491&gt;0,Y491,0)))</f>
        <v>16109</v>
      </c>
      <c r="G491" s="207"/>
      <c r="H491" s="281">
        <f t="shared" ref="H491:H500" si="414">VALUE(RIGHT(I491,4))</f>
        <v>2012</v>
      </c>
      <c r="I491" s="212" t="s">
        <v>884</v>
      </c>
      <c r="J491" s="213">
        <v>16109</v>
      </c>
      <c r="K491" s="213">
        <v>0</v>
      </c>
      <c r="L491" s="213">
        <v>16109</v>
      </c>
      <c r="M491" s="213">
        <f t="shared" ref="M491:M500" si="415">IF(L491&gt;0,L491,IF(J491&gt;0,J491,0))</f>
        <v>16109</v>
      </c>
      <c r="N491" s="207"/>
      <c r="O491" s="231"/>
      <c r="P491" s="230"/>
      <c r="Q491" s="230"/>
      <c r="R491" s="230"/>
      <c r="S491" s="213">
        <f t="shared" ref="S491:S500" si="416">IF(R491&gt;0,R491,IF(P491&gt;0,P491,0))</f>
        <v>0</v>
      </c>
      <c r="T491" s="216"/>
      <c r="U491" s="207"/>
      <c r="V491" s="216"/>
      <c r="W491" s="216"/>
      <c r="X491" s="216"/>
      <c r="Y491" s="213">
        <f t="shared" ref="Y491:Y500" si="417">IF(X491&gt;0,X491,IF(V491&gt;0,V491,0))</f>
        <v>0</v>
      </c>
      <c r="Z491" s="222" t="s">
        <v>1097</v>
      </c>
      <c r="AA491" s="228"/>
      <c r="AB491" s="218"/>
      <c r="AC491" s="220"/>
      <c r="AD491" s="220"/>
      <c r="AE491" s="220" t="str">
        <f t="shared" ref="AE491:AE500" si="418">CONCATENATE(G491,N491,T491)</f>
        <v/>
      </c>
      <c r="AF491" s="229"/>
      <c r="AG491" s="220" t="str">
        <f t="shared" ref="AG491:AG500" si="419">IF(H491=0,"3",IF(H491&lt;=2018,"2","1"))</f>
        <v>2</v>
      </c>
      <c r="AH491" s="220" t="str">
        <f t="shared" si="376"/>
        <v>1</v>
      </c>
      <c r="AI491" s="220"/>
      <c r="AJ491" s="221" t="str">
        <f t="shared" ref="AJ491:AJ500" si="420">IF(S491&gt;0,"1",IF(Y491&gt;0,"1","2"))</f>
        <v>2</v>
      </c>
      <c r="AK491" s="220" t="str">
        <f t="shared" si="390"/>
        <v>2.1..2</v>
      </c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1:61" ht="16.5" customHeight="1" outlineLevel="2">
      <c r="A492" s="207">
        <f t="shared" si="412"/>
        <v>457</v>
      </c>
      <c r="B492" s="207">
        <v>2</v>
      </c>
      <c r="C492" s="245" t="s">
        <v>1817</v>
      </c>
      <c r="D492" s="209">
        <v>1089.8789091788151</v>
      </c>
      <c r="E492" s="504" t="s">
        <v>104</v>
      </c>
      <c r="F492" s="213">
        <f t="shared" si="413"/>
        <v>9943.9499999999989</v>
      </c>
      <c r="G492" s="207"/>
      <c r="H492" s="281">
        <f t="shared" si="414"/>
        <v>2012</v>
      </c>
      <c r="I492" s="212" t="s">
        <v>850</v>
      </c>
      <c r="J492" s="213">
        <v>9943.9499999999989</v>
      </c>
      <c r="K492" s="213">
        <v>0</v>
      </c>
      <c r="L492" s="213">
        <v>9943.9499999999989</v>
      </c>
      <c r="M492" s="213">
        <f t="shared" si="415"/>
        <v>9943.9499999999989</v>
      </c>
      <c r="N492" s="207"/>
      <c r="O492" s="231"/>
      <c r="P492" s="230"/>
      <c r="Q492" s="230"/>
      <c r="R492" s="230"/>
      <c r="S492" s="213">
        <f t="shared" si="416"/>
        <v>0</v>
      </c>
      <c r="T492" s="216"/>
      <c r="U492" s="207"/>
      <c r="V492" s="216"/>
      <c r="W492" s="216"/>
      <c r="X492" s="216"/>
      <c r="Y492" s="213">
        <f t="shared" si="417"/>
        <v>0</v>
      </c>
      <c r="Z492" s="222" t="s">
        <v>1818</v>
      </c>
      <c r="AA492" s="228"/>
      <c r="AB492" s="218"/>
      <c r="AC492" s="220"/>
      <c r="AD492" s="220" t="s">
        <v>1819</v>
      </c>
      <c r="AE492" s="220" t="str">
        <f t="shared" si="418"/>
        <v/>
      </c>
      <c r="AF492" s="229"/>
      <c r="AG492" s="220" t="str">
        <f t="shared" si="419"/>
        <v>2</v>
      </c>
      <c r="AH492" s="220" t="str">
        <f t="shared" si="376"/>
        <v>1</v>
      </c>
      <c r="AI492" s="220"/>
      <c r="AJ492" s="221" t="str">
        <f t="shared" si="420"/>
        <v>2</v>
      </c>
      <c r="AK492" s="220" t="str">
        <f t="shared" si="390"/>
        <v>2.1..2</v>
      </c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1:61" ht="16.5" customHeight="1" outlineLevel="2">
      <c r="A493" s="207">
        <f t="shared" si="412"/>
        <v>458</v>
      </c>
      <c r="B493" s="207">
        <v>3</v>
      </c>
      <c r="C493" s="245" t="s">
        <v>1820</v>
      </c>
      <c r="D493" s="209">
        <v>1513.2007056730074</v>
      </c>
      <c r="E493" s="504" t="s">
        <v>104</v>
      </c>
      <c r="F493" s="213">
        <f t="shared" si="413"/>
        <v>3609.25</v>
      </c>
      <c r="G493" s="207"/>
      <c r="H493" s="281">
        <f t="shared" si="414"/>
        <v>2012</v>
      </c>
      <c r="I493" s="212" t="s">
        <v>315</v>
      </c>
      <c r="J493" s="213">
        <v>3609.25</v>
      </c>
      <c r="K493" s="213">
        <v>0</v>
      </c>
      <c r="L493" s="213">
        <v>3609.25</v>
      </c>
      <c r="M493" s="213">
        <f t="shared" si="415"/>
        <v>3609.25</v>
      </c>
      <c r="N493" s="207"/>
      <c r="O493" s="231"/>
      <c r="P493" s="230"/>
      <c r="Q493" s="230"/>
      <c r="R493" s="230"/>
      <c r="S493" s="213">
        <f t="shared" si="416"/>
        <v>0</v>
      </c>
      <c r="T493" s="216"/>
      <c r="U493" s="207"/>
      <c r="V493" s="216"/>
      <c r="W493" s="216"/>
      <c r="X493" s="216"/>
      <c r="Y493" s="213">
        <f t="shared" si="417"/>
        <v>0</v>
      </c>
      <c r="Z493" s="222" t="s">
        <v>1097</v>
      </c>
      <c r="AA493" s="228"/>
      <c r="AB493" s="218"/>
      <c r="AC493" s="220"/>
      <c r="AD493" s="220"/>
      <c r="AE493" s="220" t="str">
        <f t="shared" si="418"/>
        <v/>
      </c>
      <c r="AF493" s="229"/>
      <c r="AG493" s="220" t="str">
        <f t="shared" si="419"/>
        <v>2</v>
      </c>
      <c r="AH493" s="220" t="str">
        <f t="shared" si="376"/>
        <v>1</v>
      </c>
      <c r="AI493" s="220"/>
      <c r="AJ493" s="221" t="str">
        <f t="shared" si="420"/>
        <v>2</v>
      </c>
      <c r="AK493" s="220" t="str">
        <f t="shared" si="390"/>
        <v>2.1..2</v>
      </c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1:61" ht="16.5" customHeight="1" outlineLevel="2">
      <c r="A494" s="207">
        <f t="shared" si="412"/>
        <v>459</v>
      </c>
      <c r="B494" s="207">
        <v>4</v>
      </c>
      <c r="C494" s="245" t="s">
        <v>1821</v>
      </c>
      <c r="D494" s="209">
        <v>5913.6504879848308</v>
      </c>
      <c r="E494" s="504" t="s">
        <v>104</v>
      </c>
      <c r="F494" s="213">
        <f t="shared" si="413"/>
        <v>2128</v>
      </c>
      <c r="G494" s="207"/>
      <c r="H494" s="281">
        <f t="shared" si="414"/>
        <v>2012</v>
      </c>
      <c r="I494" s="212" t="s">
        <v>323</v>
      </c>
      <c r="J494" s="213">
        <v>2128</v>
      </c>
      <c r="K494" s="213">
        <v>0</v>
      </c>
      <c r="L494" s="213">
        <v>2128</v>
      </c>
      <c r="M494" s="213">
        <f t="shared" si="415"/>
        <v>2128</v>
      </c>
      <c r="N494" s="207"/>
      <c r="O494" s="231"/>
      <c r="P494" s="230"/>
      <c r="Q494" s="230"/>
      <c r="R494" s="230"/>
      <c r="S494" s="213">
        <f t="shared" si="416"/>
        <v>0</v>
      </c>
      <c r="T494" s="216"/>
      <c r="U494" s="207"/>
      <c r="V494" s="216"/>
      <c r="W494" s="216"/>
      <c r="X494" s="216"/>
      <c r="Y494" s="213">
        <f t="shared" si="417"/>
        <v>0</v>
      </c>
      <c r="Z494" s="222" t="s">
        <v>1097</v>
      </c>
      <c r="AA494" s="228"/>
      <c r="AB494" s="218"/>
      <c r="AC494" s="220"/>
      <c r="AD494" s="220"/>
      <c r="AE494" s="220" t="str">
        <f t="shared" si="418"/>
        <v/>
      </c>
      <c r="AF494" s="229"/>
      <c r="AG494" s="220" t="str">
        <f t="shared" si="419"/>
        <v>2</v>
      </c>
      <c r="AH494" s="220" t="str">
        <f t="shared" si="376"/>
        <v>1</v>
      </c>
      <c r="AI494" s="220"/>
      <c r="AJ494" s="221" t="str">
        <f t="shared" si="420"/>
        <v>2</v>
      </c>
      <c r="AK494" s="220" t="str">
        <f t="shared" si="390"/>
        <v>2.1..2</v>
      </c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1:61" ht="16.5" customHeight="1" outlineLevel="2">
      <c r="A495" s="207">
        <f t="shared" si="412"/>
        <v>460</v>
      </c>
      <c r="B495" s="207">
        <v>5</v>
      </c>
      <c r="C495" s="245" t="s">
        <v>1822</v>
      </c>
      <c r="D495" s="209">
        <v>1820.5066075184188</v>
      </c>
      <c r="E495" s="504" t="s">
        <v>91</v>
      </c>
      <c r="F495" s="213">
        <f t="shared" si="413"/>
        <v>1640.66</v>
      </c>
      <c r="G495" s="207"/>
      <c r="H495" s="281" t="e">
        <f t="shared" si="414"/>
        <v>#VALUE!</v>
      </c>
      <c r="I495" s="212"/>
      <c r="J495" s="213"/>
      <c r="K495" s="213"/>
      <c r="L495" s="213"/>
      <c r="M495" s="213">
        <f t="shared" si="415"/>
        <v>0</v>
      </c>
      <c r="N495" s="207"/>
      <c r="O495" s="231"/>
      <c r="P495" s="230"/>
      <c r="Q495" s="230"/>
      <c r="R495" s="230"/>
      <c r="S495" s="213">
        <f t="shared" si="416"/>
        <v>0</v>
      </c>
      <c r="T495" s="216" t="s">
        <v>1076</v>
      </c>
      <c r="U495" s="227" t="s">
        <v>889</v>
      </c>
      <c r="V495" s="216">
        <v>1640.66</v>
      </c>
      <c r="W495" s="216"/>
      <c r="X495" s="216"/>
      <c r="Y495" s="213">
        <f t="shared" si="417"/>
        <v>1640.66</v>
      </c>
      <c r="Z495" s="222">
        <v>2020</v>
      </c>
      <c r="AA495" s="228"/>
      <c r="AB495" s="218"/>
      <c r="AC495" s="220"/>
      <c r="AD495" s="220"/>
      <c r="AE495" s="220" t="str">
        <f t="shared" si="418"/>
        <v>V</v>
      </c>
      <c r="AF495" s="229"/>
      <c r="AG495" s="220" t="e">
        <f t="shared" si="419"/>
        <v>#VALUE!</v>
      </c>
      <c r="AH495" s="220" t="str">
        <f t="shared" si="376"/>
        <v>2</v>
      </c>
      <c r="AI495" s="220"/>
      <c r="AJ495" s="221" t="str">
        <f t="shared" si="420"/>
        <v>1</v>
      </c>
      <c r="AK495" s="220" t="e">
        <f t="shared" si="390"/>
        <v>#VALUE!</v>
      </c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1:61" ht="16.5" customHeight="1" outlineLevel="2">
      <c r="A496" s="207">
        <f t="shared" si="412"/>
        <v>461</v>
      </c>
      <c r="B496" s="207">
        <v>6</v>
      </c>
      <c r="C496" s="245" t="s">
        <v>1823</v>
      </c>
      <c r="D496" s="209">
        <v>75.132334811553008</v>
      </c>
      <c r="E496" s="504" t="s">
        <v>104</v>
      </c>
      <c r="F496" s="213">
        <f t="shared" si="413"/>
        <v>0</v>
      </c>
      <c r="G496" s="207"/>
      <c r="H496" s="281">
        <f t="shared" si="414"/>
        <v>2011</v>
      </c>
      <c r="I496" s="212" t="s">
        <v>631</v>
      </c>
      <c r="J496" s="213">
        <v>0</v>
      </c>
      <c r="K496" s="213">
        <v>0</v>
      </c>
      <c r="L496" s="213">
        <v>0</v>
      </c>
      <c r="M496" s="213">
        <f t="shared" si="415"/>
        <v>0</v>
      </c>
      <c r="N496" s="207"/>
      <c r="O496" s="231"/>
      <c r="P496" s="230"/>
      <c r="Q496" s="230"/>
      <c r="R496" s="230"/>
      <c r="S496" s="213">
        <f t="shared" si="416"/>
        <v>0</v>
      </c>
      <c r="T496" s="216"/>
      <c r="U496" s="207"/>
      <c r="V496" s="216"/>
      <c r="W496" s="216"/>
      <c r="X496" s="216"/>
      <c r="Y496" s="213">
        <f t="shared" si="417"/>
        <v>0</v>
      </c>
      <c r="Z496" s="222" t="s">
        <v>1097</v>
      </c>
      <c r="AA496" s="228"/>
      <c r="AB496" s="218"/>
      <c r="AC496" s="220"/>
      <c r="AD496" s="220"/>
      <c r="AE496" s="220" t="str">
        <f t="shared" si="418"/>
        <v/>
      </c>
      <c r="AF496" s="229"/>
      <c r="AG496" s="220" t="str">
        <f t="shared" si="419"/>
        <v>2</v>
      </c>
      <c r="AH496" s="220" t="str">
        <f t="shared" si="376"/>
        <v>2</v>
      </c>
      <c r="AI496" s="220"/>
      <c r="AJ496" s="221" t="str">
        <f t="shared" si="420"/>
        <v>2</v>
      </c>
      <c r="AK496" s="220" t="str">
        <f t="shared" si="390"/>
        <v>2.2..2</v>
      </c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1:61" ht="16.5" customHeight="1" outlineLevel="2">
      <c r="A497" s="207">
        <f t="shared" si="412"/>
        <v>462</v>
      </c>
      <c r="B497" s="207">
        <v>7</v>
      </c>
      <c r="C497" s="245" t="s">
        <v>1824</v>
      </c>
      <c r="D497" s="209">
        <v>0</v>
      </c>
      <c r="E497" s="504" t="s">
        <v>661</v>
      </c>
      <c r="F497" s="213">
        <f t="shared" si="413"/>
        <v>0</v>
      </c>
      <c r="G497" s="207"/>
      <c r="H497" s="281" t="e">
        <f t="shared" si="414"/>
        <v>#VALUE!</v>
      </c>
      <c r="I497" s="212"/>
      <c r="J497" s="213"/>
      <c r="K497" s="213"/>
      <c r="L497" s="213"/>
      <c r="M497" s="213">
        <f t="shared" si="415"/>
        <v>0</v>
      </c>
      <c r="N497" s="207"/>
      <c r="O497" s="231"/>
      <c r="P497" s="230"/>
      <c r="Q497" s="230"/>
      <c r="R497" s="230"/>
      <c r="S497" s="213">
        <f t="shared" si="416"/>
        <v>0</v>
      </c>
      <c r="T497" s="216"/>
      <c r="U497" s="207"/>
      <c r="V497" s="216"/>
      <c r="W497" s="216"/>
      <c r="X497" s="216"/>
      <c r="Y497" s="213">
        <f t="shared" si="417"/>
        <v>0</v>
      </c>
      <c r="Z497" s="222" t="s">
        <v>1097</v>
      </c>
      <c r="AA497" s="228"/>
      <c r="AB497" s="218"/>
      <c r="AC497" s="220"/>
      <c r="AD497" s="220"/>
      <c r="AE497" s="220" t="str">
        <f t="shared" si="418"/>
        <v/>
      </c>
      <c r="AF497" s="229"/>
      <c r="AG497" s="220" t="e">
        <f t="shared" si="419"/>
        <v>#VALUE!</v>
      </c>
      <c r="AH497" s="220" t="str">
        <f t="shared" si="376"/>
        <v>2</v>
      </c>
      <c r="AI497" s="220"/>
      <c r="AJ497" s="221" t="str">
        <f t="shared" si="420"/>
        <v>2</v>
      </c>
      <c r="AK497" s="220" t="e">
        <f t="shared" si="390"/>
        <v>#VALUE!</v>
      </c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1:61" ht="16.5" customHeight="1" outlineLevel="2">
      <c r="A498" s="207">
        <f t="shared" si="412"/>
        <v>463</v>
      </c>
      <c r="B498" s="207">
        <v>8</v>
      </c>
      <c r="C498" s="245" t="s">
        <v>1825</v>
      </c>
      <c r="D498" s="209">
        <v>447.91119367512329</v>
      </c>
      <c r="E498" s="504" t="s">
        <v>661</v>
      </c>
      <c r="F498" s="213">
        <f t="shared" si="413"/>
        <v>0</v>
      </c>
      <c r="G498" s="207"/>
      <c r="H498" s="281" t="e">
        <f t="shared" si="414"/>
        <v>#VALUE!</v>
      </c>
      <c r="I498" s="212"/>
      <c r="J498" s="213"/>
      <c r="K498" s="213"/>
      <c r="L498" s="213"/>
      <c r="M498" s="213">
        <f t="shared" si="415"/>
        <v>0</v>
      </c>
      <c r="N498" s="207"/>
      <c r="O498" s="231"/>
      <c r="P498" s="230"/>
      <c r="Q498" s="230"/>
      <c r="R498" s="230"/>
      <c r="S498" s="213">
        <f t="shared" si="416"/>
        <v>0</v>
      </c>
      <c r="T498" s="216"/>
      <c r="U498" s="207"/>
      <c r="V498" s="216"/>
      <c r="W498" s="216"/>
      <c r="X498" s="216"/>
      <c r="Y498" s="213">
        <f t="shared" si="417"/>
        <v>0</v>
      </c>
      <c r="Z498" s="222" t="s">
        <v>1818</v>
      </c>
      <c r="AA498" s="228"/>
      <c r="AB498" s="218"/>
      <c r="AC498" s="220"/>
      <c r="AD498" s="220" t="s">
        <v>1826</v>
      </c>
      <c r="AE498" s="220" t="str">
        <f t="shared" si="418"/>
        <v/>
      </c>
      <c r="AF498" s="229"/>
      <c r="AG498" s="220" t="e">
        <f t="shared" si="419"/>
        <v>#VALUE!</v>
      </c>
      <c r="AH498" s="220" t="str">
        <f t="shared" si="376"/>
        <v>2</v>
      </c>
      <c r="AI498" s="220"/>
      <c r="AJ498" s="221" t="str">
        <f t="shared" si="420"/>
        <v>2</v>
      </c>
      <c r="AK498" s="220" t="e">
        <f t="shared" si="390"/>
        <v>#VALUE!</v>
      </c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1:61" ht="16.5" customHeight="1" outlineLevel="2">
      <c r="A499" s="207">
        <f t="shared" si="412"/>
        <v>464</v>
      </c>
      <c r="B499" s="207">
        <v>9</v>
      </c>
      <c r="C499" s="245" t="s">
        <v>1827</v>
      </c>
      <c r="D499" s="209">
        <v>1369.0081705637426</v>
      </c>
      <c r="E499" s="504" t="s">
        <v>104</v>
      </c>
      <c r="F499" s="213">
        <f t="shared" si="413"/>
        <v>16732</v>
      </c>
      <c r="G499" s="207"/>
      <c r="H499" s="281">
        <f t="shared" si="414"/>
        <v>2012</v>
      </c>
      <c r="I499" s="212" t="s">
        <v>1201</v>
      </c>
      <c r="J499" s="213">
        <v>16732</v>
      </c>
      <c r="K499" s="213">
        <v>0</v>
      </c>
      <c r="L499" s="213">
        <v>16732</v>
      </c>
      <c r="M499" s="213">
        <f t="shared" si="415"/>
        <v>16732</v>
      </c>
      <c r="N499" s="207"/>
      <c r="O499" s="231"/>
      <c r="P499" s="230"/>
      <c r="Q499" s="230"/>
      <c r="R499" s="230"/>
      <c r="S499" s="213">
        <f t="shared" si="416"/>
        <v>0</v>
      </c>
      <c r="T499" s="216"/>
      <c r="U499" s="207"/>
      <c r="V499" s="216"/>
      <c r="W499" s="216"/>
      <c r="X499" s="216"/>
      <c r="Y499" s="213">
        <f t="shared" si="417"/>
        <v>0</v>
      </c>
      <c r="Z499" s="222" t="s">
        <v>1818</v>
      </c>
      <c r="AA499" s="228"/>
      <c r="AB499" s="218"/>
      <c r="AC499" s="220"/>
      <c r="AD499" s="220" t="s">
        <v>1828</v>
      </c>
      <c r="AE499" s="220" t="str">
        <f t="shared" si="418"/>
        <v/>
      </c>
      <c r="AF499" s="229"/>
      <c r="AG499" s="220" t="str">
        <f t="shared" si="419"/>
        <v>2</v>
      </c>
      <c r="AH499" s="220" t="str">
        <f t="shared" si="376"/>
        <v>1</v>
      </c>
      <c r="AI499" s="220"/>
      <c r="AJ499" s="221" t="str">
        <f t="shared" si="420"/>
        <v>2</v>
      </c>
      <c r="AK499" s="220" t="str">
        <f t="shared" si="390"/>
        <v>2.1..2</v>
      </c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1:61" ht="16.5" customHeight="1" outlineLevel="2">
      <c r="A500" s="207">
        <f t="shared" si="412"/>
        <v>465</v>
      </c>
      <c r="B500" s="207">
        <v>10</v>
      </c>
      <c r="C500" s="245" t="s">
        <v>1829</v>
      </c>
      <c r="D500" s="209">
        <v>0</v>
      </c>
      <c r="E500" s="504" t="s">
        <v>661</v>
      </c>
      <c r="F500" s="213">
        <f t="shared" si="413"/>
        <v>0</v>
      </c>
      <c r="G500" s="207"/>
      <c r="H500" s="281" t="e">
        <f t="shared" si="414"/>
        <v>#VALUE!</v>
      </c>
      <c r="I500" s="212"/>
      <c r="J500" s="213"/>
      <c r="K500" s="213"/>
      <c r="L500" s="213"/>
      <c r="M500" s="213">
        <f t="shared" si="415"/>
        <v>0</v>
      </c>
      <c r="N500" s="207"/>
      <c r="O500" s="231"/>
      <c r="P500" s="230"/>
      <c r="Q500" s="230"/>
      <c r="R500" s="230"/>
      <c r="S500" s="213">
        <f t="shared" si="416"/>
        <v>0</v>
      </c>
      <c r="T500" s="216"/>
      <c r="U500" s="207"/>
      <c r="V500" s="216"/>
      <c r="W500" s="216"/>
      <c r="X500" s="216"/>
      <c r="Y500" s="213">
        <f t="shared" si="417"/>
        <v>0</v>
      </c>
      <c r="Z500" s="222" t="s">
        <v>1097</v>
      </c>
      <c r="AA500" s="228"/>
      <c r="AB500" s="218"/>
      <c r="AC500" s="220"/>
      <c r="AD500" s="220"/>
      <c r="AE500" s="220" t="str">
        <f t="shared" si="418"/>
        <v/>
      </c>
      <c r="AF500" s="229"/>
      <c r="AG500" s="220" t="e">
        <f t="shared" si="419"/>
        <v>#VALUE!</v>
      </c>
      <c r="AH500" s="220" t="str">
        <f t="shared" si="376"/>
        <v>2</v>
      </c>
      <c r="AI500" s="220"/>
      <c r="AJ500" s="221" t="str">
        <f t="shared" si="420"/>
        <v>2</v>
      </c>
      <c r="AK500" s="220" t="e">
        <f t="shared" si="390"/>
        <v>#VALUE!</v>
      </c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1:61" ht="16.5" customHeight="1" outlineLevel="1">
      <c r="A501" s="207"/>
      <c r="B501" s="235"/>
      <c r="C501" s="249" t="s">
        <v>1830</v>
      </c>
      <c r="D501" s="250">
        <f>SUM(D491:D500)</f>
        <v>13357.64222694096</v>
      </c>
      <c r="E501" s="238">
        <f>COUNTIF(E491:E500,"D") + COUNTIF(E491:E500,"DS")</f>
        <v>7</v>
      </c>
      <c r="F501" s="254">
        <f>SUBTOTAL(9,F491:F500)</f>
        <v>50162.86</v>
      </c>
      <c r="G501" s="201"/>
      <c r="H501" s="240"/>
      <c r="I501" s="264"/>
      <c r="J501" s="254">
        <f t="shared" ref="J501:M501" si="421">SUBTOTAL(9,J491:J499)</f>
        <v>48522.2</v>
      </c>
      <c r="K501" s="254">
        <f t="shared" si="421"/>
        <v>0</v>
      </c>
      <c r="L501" s="254">
        <f t="shared" si="421"/>
        <v>48522.2</v>
      </c>
      <c r="M501" s="254">
        <f t="shared" si="421"/>
        <v>48522.2</v>
      </c>
      <c r="N501" s="201"/>
      <c r="O501" s="236"/>
      <c r="P501" s="255">
        <v>0</v>
      </c>
      <c r="Q501" s="255">
        <v>0</v>
      </c>
      <c r="R501" s="255">
        <v>0</v>
      </c>
      <c r="S501" s="254">
        <f>SUBTOTAL(9,S491:S499)</f>
        <v>0</v>
      </c>
      <c r="T501" s="203">
        <v>1</v>
      </c>
      <c r="U501" s="201">
        <v>1</v>
      </c>
      <c r="V501" s="203">
        <v>0</v>
      </c>
      <c r="W501" s="203">
        <v>0</v>
      </c>
      <c r="X501" s="203">
        <v>0</v>
      </c>
      <c r="Y501" s="254">
        <f>SUBTOTAL(9,Y491:Y499)</f>
        <v>1640.66</v>
      </c>
      <c r="Z501" s="243" t="s">
        <v>1138</v>
      </c>
      <c r="AA501" s="228"/>
      <c r="AB501" s="218"/>
      <c r="AC501" s="220"/>
      <c r="AD501" s="220"/>
      <c r="AE501" s="244">
        <f>COUNTIF(AE491:AE500,"V") + COUNTIF(AE491:AE500,"VV") + COUNTIF(AE491:AE500,"VVV")</f>
        <v>1</v>
      </c>
      <c r="AF501" s="229"/>
      <c r="AG501" s="220"/>
      <c r="AH501" s="220" t="str">
        <f t="shared" si="376"/>
        <v>1</v>
      </c>
      <c r="AI501" s="220"/>
      <c r="AJ501" s="221"/>
      <c r="AK501" s="220" t="str">
        <f t="shared" si="390"/>
        <v>.1..</v>
      </c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1:61" ht="16.5" customHeight="1" outlineLevel="1">
      <c r="A502" s="207">
        <f t="shared" ref="A502:A514" si="422">SUBTOTAL(3,$B$6:B502)</f>
        <v>466</v>
      </c>
      <c r="B502" s="207">
        <v>1</v>
      </c>
      <c r="C502" s="208" t="s">
        <v>1831</v>
      </c>
      <c r="D502" s="247">
        <v>239.0581941179</v>
      </c>
      <c r="E502" s="504" t="s">
        <v>661</v>
      </c>
      <c r="F502" s="213">
        <f t="shared" ref="F502:F514" si="423">IF(M502&gt;0,M502,IF(S502&gt;0,S502,IF(Y502&gt;0,Y502,0)))</f>
        <v>0</v>
      </c>
      <c r="G502" s="256"/>
      <c r="H502" s="307" t="e">
        <f t="shared" ref="H502:H514" si="424">VALUE(RIGHT(I502,4))</f>
        <v>#VALUE!</v>
      </c>
      <c r="I502" s="308"/>
      <c r="J502" s="257"/>
      <c r="K502" s="257"/>
      <c r="L502" s="257"/>
      <c r="M502" s="213">
        <f t="shared" ref="M502:M514" si="425">IF(L502&gt;0,L502,IF(J502&gt;0,J502,0))</f>
        <v>0</v>
      </c>
      <c r="N502" s="256"/>
      <c r="O502" s="258"/>
      <c r="P502" s="259"/>
      <c r="Q502" s="259"/>
      <c r="R502" s="259"/>
      <c r="S502" s="213">
        <f t="shared" ref="S502:S514" si="426">IF(R502&gt;0,R502,IF(P502&gt;0,P502,0))</f>
        <v>0</v>
      </c>
      <c r="T502" s="260"/>
      <c r="U502" s="256"/>
      <c r="V502" s="260"/>
      <c r="W502" s="260"/>
      <c r="X502" s="260"/>
      <c r="Y502" s="213">
        <f t="shared" ref="Y502:Y514" si="427">IF(X502&gt;0,X502,IF(V502&gt;0,V502,0))</f>
        <v>0</v>
      </c>
      <c r="Z502" s="222" t="s">
        <v>1097</v>
      </c>
      <c r="AA502" s="228"/>
      <c r="AB502" s="218"/>
      <c r="AC502" s="220"/>
      <c r="AD502" s="220"/>
      <c r="AE502" s="220" t="str">
        <f t="shared" ref="AE502:AE514" si="428">CONCATENATE(G502,N502,T502)</f>
        <v/>
      </c>
      <c r="AF502" s="229"/>
      <c r="AG502" s="220" t="e">
        <f t="shared" ref="AG502:AG514" si="429">IF(H502=0,"3",IF(H502&lt;=2018,"2","1"))</f>
        <v>#VALUE!</v>
      </c>
      <c r="AH502" s="220" t="str">
        <f t="shared" si="376"/>
        <v>2</v>
      </c>
      <c r="AI502" s="220"/>
      <c r="AJ502" s="221" t="str">
        <f t="shared" ref="AJ502:AJ514" si="430">IF(S502&gt;0,"1",IF(Y502&gt;0,"1","2"))</f>
        <v>2</v>
      </c>
      <c r="AK502" s="220" t="e">
        <f t="shared" si="390"/>
        <v>#VALUE!</v>
      </c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1:61" ht="16.5" customHeight="1" outlineLevel="1">
      <c r="A503" s="207">
        <f t="shared" si="422"/>
        <v>467</v>
      </c>
      <c r="B503" s="207">
        <v>2</v>
      </c>
      <c r="C503" s="208" t="s">
        <v>1832</v>
      </c>
      <c r="D503" s="247">
        <v>0</v>
      </c>
      <c r="E503" s="504" t="s">
        <v>661</v>
      </c>
      <c r="F503" s="213">
        <f t="shared" si="423"/>
        <v>0</v>
      </c>
      <c r="G503" s="256"/>
      <c r="H503" s="307" t="e">
        <f t="shared" si="424"/>
        <v>#VALUE!</v>
      </c>
      <c r="I503" s="308"/>
      <c r="J503" s="257"/>
      <c r="K503" s="257"/>
      <c r="L503" s="257"/>
      <c r="M503" s="213">
        <f t="shared" si="425"/>
        <v>0</v>
      </c>
      <c r="N503" s="256"/>
      <c r="O503" s="258"/>
      <c r="P503" s="259"/>
      <c r="Q503" s="259"/>
      <c r="R503" s="259"/>
      <c r="S503" s="213">
        <f t="shared" si="426"/>
        <v>0</v>
      </c>
      <c r="T503" s="260"/>
      <c r="U503" s="256"/>
      <c r="V503" s="260"/>
      <c r="W503" s="260"/>
      <c r="X503" s="260"/>
      <c r="Y503" s="213">
        <f t="shared" si="427"/>
        <v>0</v>
      </c>
      <c r="Z503" s="222" t="s">
        <v>1097</v>
      </c>
      <c r="AA503" s="228"/>
      <c r="AB503" s="218"/>
      <c r="AC503" s="220"/>
      <c r="AD503" s="220"/>
      <c r="AE503" s="220" t="str">
        <f t="shared" si="428"/>
        <v/>
      </c>
      <c r="AF503" s="229"/>
      <c r="AG503" s="220" t="e">
        <f t="shared" si="429"/>
        <v>#VALUE!</v>
      </c>
      <c r="AH503" s="220" t="str">
        <f t="shared" si="376"/>
        <v>2</v>
      </c>
      <c r="AI503" s="220"/>
      <c r="AJ503" s="221" t="str">
        <f t="shared" si="430"/>
        <v>2</v>
      </c>
      <c r="AK503" s="220" t="e">
        <f t="shared" si="390"/>
        <v>#VALUE!</v>
      </c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1:61" ht="16.5" customHeight="1" outlineLevel="1">
      <c r="A504" s="207">
        <f t="shared" si="422"/>
        <v>468</v>
      </c>
      <c r="B504" s="207">
        <v>3</v>
      </c>
      <c r="C504" s="208" t="s">
        <v>1833</v>
      </c>
      <c r="D504" s="247">
        <v>22.899135048183002</v>
      </c>
      <c r="E504" s="504" t="s">
        <v>661</v>
      </c>
      <c r="F504" s="213">
        <f t="shared" si="423"/>
        <v>0</v>
      </c>
      <c r="G504" s="256"/>
      <c r="H504" s="307" t="e">
        <f t="shared" si="424"/>
        <v>#VALUE!</v>
      </c>
      <c r="I504" s="308"/>
      <c r="J504" s="257"/>
      <c r="K504" s="257"/>
      <c r="L504" s="257"/>
      <c r="M504" s="213">
        <f t="shared" si="425"/>
        <v>0</v>
      </c>
      <c r="N504" s="256"/>
      <c r="O504" s="258"/>
      <c r="P504" s="259"/>
      <c r="Q504" s="259"/>
      <c r="R504" s="259"/>
      <c r="S504" s="213">
        <f t="shared" si="426"/>
        <v>0</v>
      </c>
      <c r="T504" s="260"/>
      <c r="U504" s="256"/>
      <c r="V504" s="260"/>
      <c r="W504" s="260"/>
      <c r="X504" s="260"/>
      <c r="Y504" s="213">
        <f t="shared" si="427"/>
        <v>0</v>
      </c>
      <c r="Z504" s="222" t="s">
        <v>1097</v>
      </c>
      <c r="AA504" s="228"/>
      <c r="AB504" s="218"/>
      <c r="AC504" s="220"/>
      <c r="AD504" s="220"/>
      <c r="AE504" s="220" t="str">
        <f t="shared" si="428"/>
        <v/>
      </c>
      <c r="AF504" s="229"/>
      <c r="AG504" s="220" t="e">
        <f t="shared" si="429"/>
        <v>#VALUE!</v>
      </c>
      <c r="AH504" s="220" t="str">
        <f t="shared" si="376"/>
        <v>2</v>
      </c>
      <c r="AI504" s="220"/>
      <c r="AJ504" s="221" t="str">
        <f t="shared" si="430"/>
        <v>2</v>
      </c>
      <c r="AK504" s="220" t="e">
        <f t="shared" si="390"/>
        <v>#VALUE!</v>
      </c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1:61" ht="16.5" customHeight="1" outlineLevel="2">
      <c r="A505" s="207">
        <f t="shared" si="422"/>
        <v>469</v>
      </c>
      <c r="B505" s="207">
        <v>4</v>
      </c>
      <c r="C505" s="245" t="s">
        <v>1834</v>
      </c>
      <c r="D505" s="209">
        <v>3567.6698235081158</v>
      </c>
      <c r="E505" s="504" t="s">
        <v>104</v>
      </c>
      <c r="F505" s="213">
        <f t="shared" si="423"/>
        <v>4500</v>
      </c>
      <c r="G505" s="207"/>
      <c r="H505" s="281">
        <f t="shared" si="424"/>
        <v>2013</v>
      </c>
      <c r="I505" s="212" t="s">
        <v>1665</v>
      </c>
      <c r="J505" s="213">
        <v>4500</v>
      </c>
      <c r="K505" s="213">
        <v>0</v>
      </c>
      <c r="L505" s="213">
        <v>4500</v>
      </c>
      <c r="M505" s="213">
        <f t="shared" si="425"/>
        <v>4500</v>
      </c>
      <c r="N505" s="207"/>
      <c r="O505" s="231"/>
      <c r="P505" s="230"/>
      <c r="Q505" s="230"/>
      <c r="R505" s="230"/>
      <c r="S505" s="213">
        <f t="shared" si="426"/>
        <v>0</v>
      </c>
      <c r="T505" s="216"/>
      <c r="U505" s="207"/>
      <c r="V505" s="216"/>
      <c r="W505" s="216"/>
      <c r="X505" s="216"/>
      <c r="Y505" s="213">
        <f t="shared" si="427"/>
        <v>0</v>
      </c>
      <c r="Z505" s="222" t="s">
        <v>1097</v>
      </c>
      <c r="AA505" s="228"/>
      <c r="AB505" s="218"/>
      <c r="AC505" s="220"/>
      <c r="AD505" s="220"/>
      <c r="AE505" s="220" t="str">
        <f t="shared" si="428"/>
        <v/>
      </c>
      <c r="AF505" s="229"/>
      <c r="AG505" s="220" t="str">
        <f t="shared" si="429"/>
        <v>2</v>
      </c>
      <c r="AH505" s="220" t="str">
        <f t="shared" si="376"/>
        <v>1</v>
      </c>
      <c r="AI505" s="220"/>
      <c r="AJ505" s="221" t="str">
        <f t="shared" si="430"/>
        <v>2</v>
      </c>
      <c r="AK505" s="220" t="str">
        <f t="shared" si="390"/>
        <v>2.1..2</v>
      </c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1:61" ht="16.5" customHeight="1" outlineLevel="2">
      <c r="A506" s="207">
        <f t="shared" si="422"/>
        <v>470</v>
      </c>
      <c r="B506" s="207">
        <v>5</v>
      </c>
      <c r="C506" s="245" t="s">
        <v>1835</v>
      </c>
      <c r="D506" s="209">
        <v>864.9572108727408</v>
      </c>
      <c r="E506" s="504" t="s">
        <v>661</v>
      </c>
      <c r="F506" s="213">
        <f t="shared" si="423"/>
        <v>0</v>
      </c>
      <c r="G506" s="207"/>
      <c r="H506" s="281" t="e">
        <f t="shared" si="424"/>
        <v>#VALUE!</v>
      </c>
      <c r="I506" s="212"/>
      <c r="J506" s="213"/>
      <c r="K506" s="213"/>
      <c r="L506" s="213"/>
      <c r="M506" s="213">
        <f t="shared" si="425"/>
        <v>0</v>
      </c>
      <c r="N506" s="207"/>
      <c r="O506" s="231"/>
      <c r="P506" s="230"/>
      <c r="Q506" s="230"/>
      <c r="R506" s="230"/>
      <c r="S506" s="213">
        <f t="shared" si="426"/>
        <v>0</v>
      </c>
      <c r="T506" s="216"/>
      <c r="U506" s="207"/>
      <c r="V506" s="216"/>
      <c r="W506" s="216"/>
      <c r="X506" s="216"/>
      <c r="Y506" s="213">
        <f t="shared" si="427"/>
        <v>0</v>
      </c>
      <c r="Z506" s="222" t="s">
        <v>1097</v>
      </c>
      <c r="AA506" s="228"/>
      <c r="AB506" s="218"/>
      <c r="AC506" s="220"/>
      <c r="AD506" s="220"/>
      <c r="AE506" s="220" t="str">
        <f t="shared" si="428"/>
        <v/>
      </c>
      <c r="AF506" s="229"/>
      <c r="AG506" s="220" t="e">
        <f t="shared" si="429"/>
        <v>#VALUE!</v>
      </c>
      <c r="AH506" s="220" t="str">
        <f t="shared" si="376"/>
        <v>2</v>
      </c>
      <c r="AI506" s="220"/>
      <c r="AJ506" s="221" t="str">
        <f t="shared" si="430"/>
        <v>2</v>
      </c>
      <c r="AK506" s="220" t="e">
        <f t="shared" si="390"/>
        <v>#VALUE!</v>
      </c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1:61" ht="16.5" customHeight="1" outlineLevel="2">
      <c r="A507" s="207">
        <f t="shared" si="422"/>
        <v>471</v>
      </c>
      <c r="B507" s="207">
        <v>6</v>
      </c>
      <c r="C507" s="245" t="s">
        <v>1836</v>
      </c>
      <c r="D507" s="209"/>
      <c r="E507" s="504" t="s">
        <v>661</v>
      </c>
      <c r="F507" s="213">
        <f t="shared" si="423"/>
        <v>0</v>
      </c>
      <c r="G507" s="207"/>
      <c r="H507" s="281" t="e">
        <f t="shared" si="424"/>
        <v>#VALUE!</v>
      </c>
      <c r="I507" s="212"/>
      <c r="J507" s="213"/>
      <c r="K507" s="213"/>
      <c r="L507" s="213"/>
      <c r="M507" s="213">
        <f t="shared" si="425"/>
        <v>0</v>
      </c>
      <c r="N507" s="207"/>
      <c r="O507" s="231"/>
      <c r="P507" s="230"/>
      <c r="Q507" s="230"/>
      <c r="R507" s="230"/>
      <c r="S507" s="213">
        <f t="shared" si="426"/>
        <v>0</v>
      </c>
      <c r="T507" s="216"/>
      <c r="U507" s="207"/>
      <c r="V507" s="216"/>
      <c r="W507" s="216"/>
      <c r="X507" s="216"/>
      <c r="Y507" s="213">
        <f t="shared" si="427"/>
        <v>0</v>
      </c>
      <c r="Z507" s="222" t="s">
        <v>1097</v>
      </c>
      <c r="AA507" s="228"/>
      <c r="AB507" s="218"/>
      <c r="AC507" s="220"/>
      <c r="AD507" s="220"/>
      <c r="AE507" s="220" t="str">
        <f t="shared" si="428"/>
        <v/>
      </c>
      <c r="AF507" s="229"/>
      <c r="AG507" s="220" t="e">
        <f t="shared" si="429"/>
        <v>#VALUE!</v>
      </c>
      <c r="AH507" s="220" t="str">
        <f t="shared" si="376"/>
        <v>2</v>
      </c>
      <c r="AI507" s="220"/>
      <c r="AJ507" s="221" t="str">
        <f t="shared" si="430"/>
        <v>2</v>
      </c>
      <c r="AK507" s="220" t="e">
        <f t="shared" si="390"/>
        <v>#VALUE!</v>
      </c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1:61" ht="16.5" customHeight="1" outlineLevel="2">
      <c r="A508" s="207">
        <f t="shared" si="422"/>
        <v>472</v>
      </c>
      <c r="B508" s="207">
        <v>7</v>
      </c>
      <c r="C508" s="245" t="s">
        <v>1837</v>
      </c>
      <c r="D508" s="209"/>
      <c r="E508" s="504" t="s">
        <v>661</v>
      </c>
      <c r="F508" s="213">
        <f t="shared" si="423"/>
        <v>0</v>
      </c>
      <c r="G508" s="207"/>
      <c r="H508" s="281" t="e">
        <f t="shared" si="424"/>
        <v>#VALUE!</v>
      </c>
      <c r="I508" s="212"/>
      <c r="J508" s="213"/>
      <c r="K508" s="213"/>
      <c r="L508" s="213"/>
      <c r="M508" s="213">
        <f t="shared" si="425"/>
        <v>0</v>
      </c>
      <c r="N508" s="207"/>
      <c r="O508" s="231"/>
      <c r="P508" s="230"/>
      <c r="Q508" s="230"/>
      <c r="R508" s="230"/>
      <c r="S508" s="213">
        <f t="shared" si="426"/>
        <v>0</v>
      </c>
      <c r="T508" s="216"/>
      <c r="U508" s="207"/>
      <c r="V508" s="216"/>
      <c r="W508" s="216"/>
      <c r="X508" s="216"/>
      <c r="Y508" s="213">
        <f t="shared" si="427"/>
        <v>0</v>
      </c>
      <c r="Z508" s="222" t="s">
        <v>1097</v>
      </c>
      <c r="AA508" s="228"/>
      <c r="AB508" s="218"/>
      <c r="AC508" s="220"/>
      <c r="AD508" s="220"/>
      <c r="AE508" s="220" t="str">
        <f t="shared" si="428"/>
        <v/>
      </c>
      <c r="AF508" s="229"/>
      <c r="AG508" s="220" t="e">
        <f t="shared" si="429"/>
        <v>#VALUE!</v>
      </c>
      <c r="AH508" s="220" t="str">
        <f t="shared" si="376"/>
        <v>2</v>
      </c>
      <c r="AI508" s="220"/>
      <c r="AJ508" s="221" t="str">
        <f t="shared" si="430"/>
        <v>2</v>
      </c>
      <c r="AK508" s="220" t="e">
        <f t="shared" si="390"/>
        <v>#VALUE!</v>
      </c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1:61" ht="16.5" customHeight="1" outlineLevel="2">
      <c r="A509" s="207">
        <f t="shared" si="422"/>
        <v>473</v>
      </c>
      <c r="B509" s="207">
        <v>8</v>
      </c>
      <c r="C509" s="245" t="s">
        <v>1838</v>
      </c>
      <c r="D509" s="209">
        <v>219.25439918735003</v>
      </c>
      <c r="E509" s="504" t="s">
        <v>661</v>
      </c>
      <c r="F509" s="213">
        <f t="shared" si="423"/>
        <v>0</v>
      </c>
      <c r="G509" s="207"/>
      <c r="H509" s="281" t="e">
        <f t="shared" si="424"/>
        <v>#VALUE!</v>
      </c>
      <c r="I509" s="212"/>
      <c r="J509" s="213"/>
      <c r="K509" s="213"/>
      <c r="L509" s="213"/>
      <c r="M509" s="213">
        <f t="shared" si="425"/>
        <v>0</v>
      </c>
      <c r="N509" s="207"/>
      <c r="O509" s="231"/>
      <c r="P509" s="230"/>
      <c r="Q509" s="230"/>
      <c r="R509" s="230"/>
      <c r="S509" s="213">
        <f t="shared" si="426"/>
        <v>0</v>
      </c>
      <c r="T509" s="216"/>
      <c r="U509" s="207"/>
      <c r="V509" s="216"/>
      <c r="W509" s="216"/>
      <c r="X509" s="216"/>
      <c r="Y509" s="213">
        <f t="shared" si="427"/>
        <v>0</v>
      </c>
      <c r="Z509" s="222" t="s">
        <v>1097</v>
      </c>
      <c r="AA509" s="228"/>
      <c r="AB509" s="218"/>
      <c r="AC509" s="220"/>
      <c r="AD509" s="220"/>
      <c r="AE509" s="220" t="str">
        <f t="shared" si="428"/>
        <v/>
      </c>
      <c r="AF509" s="229"/>
      <c r="AG509" s="220" t="e">
        <f t="shared" si="429"/>
        <v>#VALUE!</v>
      </c>
      <c r="AH509" s="220" t="str">
        <f t="shared" si="376"/>
        <v>2</v>
      </c>
      <c r="AI509" s="220"/>
      <c r="AJ509" s="221" t="str">
        <f t="shared" si="430"/>
        <v>2</v>
      </c>
      <c r="AK509" s="220" t="e">
        <f t="shared" si="390"/>
        <v>#VALUE!</v>
      </c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1:61" ht="16.5" customHeight="1" outlineLevel="2">
      <c r="A510" s="207">
        <f t="shared" si="422"/>
        <v>474</v>
      </c>
      <c r="B510" s="207">
        <v>9</v>
      </c>
      <c r="C510" s="245" t="s">
        <v>1839</v>
      </c>
      <c r="D510" s="209">
        <v>2985.7051496828321</v>
      </c>
      <c r="E510" s="504" t="s">
        <v>104</v>
      </c>
      <c r="F510" s="213">
        <f t="shared" si="423"/>
        <v>37600</v>
      </c>
      <c r="G510" s="207"/>
      <c r="H510" s="281" t="e">
        <f t="shared" si="424"/>
        <v>#VALUE!</v>
      </c>
      <c r="I510" s="212"/>
      <c r="J510" s="213"/>
      <c r="K510" s="213"/>
      <c r="L510" s="213"/>
      <c r="M510" s="213">
        <f t="shared" si="425"/>
        <v>0</v>
      </c>
      <c r="N510" s="207"/>
      <c r="O510" s="231" t="s">
        <v>1534</v>
      </c>
      <c r="P510" s="230">
        <v>22600</v>
      </c>
      <c r="Q510" s="230">
        <v>15000</v>
      </c>
      <c r="R510" s="230">
        <v>37600</v>
      </c>
      <c r="S510" s="213">
        <f t="shared" si="426"/>
        <v>37600</v>
      </c>
      <c r="T510" s="216"/>
      <c r="U510" s="207" t="s">
        <v>1534</v>
      </c>
      <c r="V510" s="216">
        <v>22600</v>
      </c>
      <c r="W510" s="216">
        <v>15000</v>
      </c>
      <c r="X510" s="216">
        <v>37600</v>
      </c>
      <c r="Y510" s="213">
        <f t="shared" si="427"/>
        <v>37600</v>
      </c>
      <c r="Z510" s="222" t="s">
        <v>1097</v>
      </c>
      <c r="AA510" s="228"/>
      <c r="AB510" s="218"/>
      <c r="AC510" s="220"/>
      <c r="AD510" s="220"/>
      <c r="AE510" s="220" t="str">
        <f t="shared" si="428"/>
        <v/>
      </c>
      <c r="AF510" s="229"/>
      <c r="AG510" s="220" t="e">
        <f t="shared" si="429"/>
        <v>#VALUE!</v>
      </c>
      <c r="AH510" s="220" t="str">
        <f t="shared" si="376"/>
        <v>2</v>
      </c>
      <c r="AI510" s="220"/>
      <c r="AJ510" s="221" t="str">
        <f t="shared" si="430"/>
        <v>1</v>
      </c>
      <c r="AK510" s="220" t="e">
        <f t="shared" si="390"/>
        <v>#VALUE!</v>
      </c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1:61" ht="16.5" customHeight="1" outlineLevel="2">
      <c r="A511" s="207">
        <f t="shared" si="422"/>
        <v>475</v>
      </c>
      <c r="B511" s="207">
        <v>10</v>
      </c>
      <c r="C511" s="245" t="s">
        <v>1840</v>
      </c>
      <c r="D511" s="209">
        <v>235.71907861733564</v>
      </c>
      <c r="E511" s="504" t="s">
        <v>661</v>
      </c>
      <c r="F511" s="213">
        <f t="shared" si="423"/>
        <v>0</v>
      </c>
      <c r="G511" s="207"/>
      <c r="H511" s="281" t="e">
        <f t="shared" si="424"/>
        <v>#VALUE!</v>
      </c>
      <c r="I511" s="212"/>
      <c r="J511" s="213"/>
      <c r="K511" s="213"/>
      <c r="L511" s="213"/>
      <c r="M511" s="213">
        <f t="shared" si="425"/>
        <v>0</v>
      </c>
      <c r="N511" s="207"/>
      <c r="O511" s="231"/>
      <c r="P511" s="230"/>
      <c r="Q511" s="230"/>
      <c r="R511" s="230"/>
      <c r="S511" s="213">
        <f t="shared" si="426"/>
        <v>0</v>
      </c>
      <c r="T511" s="216"/>
      <c r="U511" s="207"/>
      <c r="V511" s="216"/>
      <c r="W511" s="216"/>
      <c r="X511" s="216"/>
      <c r="Y511" s="213">
        <f t="shared" si="427"/>
        <v>0</v>
      </c>
      <c r="Z511" s="222" t="s">
        <v>1097</v>
      </c>
      <c r="AA511" s="228"/>
      <c r="AB511" s="218"/>
      <c r="AC511" s="220"/>
      <c r="AD511" s="220"/>
      <c r="AE511" s="220" t="str">
        <f t="shared" si="428"/>
        <v/>
      </c>
      <c r="AF511" s="229"/>
      <c r="AG511" s="220" t="e">
        <f t="shared" si="429"/>
        <v>#VALUE!</v>
      </c>
      <c r="AH511" s="220" t="str">
        <f t="shared" si="376"/>
        <v>2</v>
      </c>
      <c r="AI511" s="220"/>
      <c r="AJ511" s="221" t="str">
        <f t="shared" si="430"/>
        <v>2</v>
      </c>
      <c r="AK511" s="220" t="e">
        <f t="shared" si="390"/>
        <v>#VALUE!</v>
      </c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1:61" ht="16.5" customHeight="1" outlineLevel="2">
      <c r="A512" s="207">
        <f t="shared" si="422"/>
        <v>476</v>
      </c>
      <c r="B512" s="207">
        <v>11</v>
      </c>
      <c r="C512" s="245" t="s">
        <v>1841</v>
      </c>
      <c r="D512" s="209"/>
      <c r="E512" s="504" t="s">
        <v>661</v>
      </c>
      <c r="F512" s="213">
        <f t="shared" si="423"/>
        <v>0</v>
      </c>
      <c r="G512" s="207"/>
      <c r="H512" s="281" t="e">
        <f t="shared" si="424"/>
        <v>#VALUE!</v>
      </c>
      <c r="I512" s="212"/>
      <c r="J512" s="213"/>
      <c r="K512" s="213"/>
      <c r="L512" s="213"/>
      <c r="M512" s="213">
        <f t="shared" si="425"/>
        <v>0</v>
      </c>
      <c r="N512" s="207"/>
      <c r="O512" s="231"/>
      <c r="P512" s="230"/>
      <c r="Q512" s="230"/>
      <c r="R512" s="230"/>
      <c r="S512" s="213">
        <f t="shared" si="426"/>
        <v>0</v>
      </c>
      <c r="T512" s="216"/>
      <c r="U512" s="207"/>
      <c r="V512" s="216"/>
      <c r="W512" s="216"/>
      <c r="X512" s="216"/>
      <c r="Y512" s="213">
        <f t="shared" si="427"/>
        <v>0</v>
      </c>
      <c r="Z512" s="222" t="s">
        <v>1097</v>
      </c>
      <c r="AA512" s="228"/>
      <c r="AB512" s="218"/>
      <c r="AC512" s="220"/>
      <c r="AD512" s="220"/>
      <c r="AE512" s="220" t="str">
        <f t="shared" si="428"/>
        <v/>
      </c>
      <c r="AF512" s="229"/>
      <c r="AG512" s="220" t="e">
        <f t="shared" si="429"/>
        <v>#VALUE!</v>
      </c>
      <c r="AH512" s="220" t="str">
        <f t="shared" si="376"/>
        <v>2</v>
      </c>
      <c r="AI512" s="220"/>
      <c r="AJ512" s="221" t="str">
        <f t="shared" si="430"/>
        <v>2</v>
      </c>
      <c r="AK512" s="220" t="e">
        <f t="shared" si="390"/>
        <v>#VALUE!</v>
      </c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1:61" ht="16.5" customHeight="1" outlineLevel="2">
      <c r="A513" s="207">
        <f t="shared" si="422"/>
        <v>477</v>
      </c>
      <c r="B513" s="207">
        <v>12</v>
      </c>
      <c r="C513" s="245" t="s">
        <v>1842</v>
      </c>
      <c r="D513" s="209">
        <v>582.95501621373182</v>
      </c>
      <c r="E513" s="504" t="s">
        <v>661</v>
      </c>
      <c r="F513" s="213">
        <f t="shared" si="423"/>
        <v>0</v>
      </c>
      <c r="G513" s="207"/>
      <c r="H513" s="281" t="e">
        <f t="shared" si="424"/>
        <v>#VALUE!</v>
      </c>
      <c r="I513" s="212"/>
      <c r="J513" s="213"/>
      <c r="K513" s="213"/>
      <c r="L513" s="213"/>
      <c r="M513" s="213">
        <f t="shared" si="425"/>
        <v>0</v>
      </c>
      <c r="N513" s="207"/>
      <c r="O513" s="231"/>
      <c r="P513" s="230"/>
      <c r="Q513" s="230"/>
      <c r="R513" s="230"/>
      <c r="S513" s="213">
        <f t="shared" si="426"/>
        <v>0</v>
      </c>
      <c r="T513" s="216"/>
      <c r="U513" s="207"/>
      <c r="V513" s="216"/>
      <c r="W513" s="216"/>
      <c r="X513" s="216"/>
      <c r="Y513" s="213">
        <f t="shared" si="427"/>
        <v>0</v>
      </c>
      <c r="Z513" s="222" t="s">
        <v>1097</v>
      </c>
      <c r="AA513" s="228"/>
      <c r="AB513" s="218"/>
      <c r="AC513" s="220"/>
      <c r="AD513" s="220"/>
      <c r="AE513" s="220" t="str">
        <f t="shared" si="428"/>
        <v/>
      </c>
      <c r="AF513" s="229"/>
      <c r="AG513" s="220" t="e">
        <f t="shared" si="429"/>
        <v>#VALUE!</v>
      </c>
      <c r="AH513" s="220" t="str">
        <f t="shared" si="376"/>
        <v>2</v>
      </c>
      <c r="AI513" s="220"/>
      <c r="AJ513" s="221" t="str">
        <f t="shared" si="430"/>
        <v>2</v>
      </c>
      <c r="AK513" s="220" t="e">
        <f t="shared" si="390"/>
        <v>#VALUE!</v>
      </c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1:61" ht="16.5" customHeight="1" outlineLevel="2">
      <c r="A514" s="207">
        <f t="shared" si="422"/>
        <v>478</v>
      </c>
      <c r="B514" s="207">
        <v>13</v>
      </c>
      <c r="C514" s="245" t="s">
        <v>1843</v>
      </c>
      <c r="D514" s="209">
        <v>141.61748764726701</v>
      </c>
      <c r="E514" s="504" t="s">
        <v>104</v>
      </c>
      <c r="F514" s="213">
        <f t="shared" si="423"/>
        <v>49010</v>
      </c>
      <c r="G514" s="207"/>
      <c r="H514" s="281">
        <f t="shared" si="424"/>
        <v>2012</v>
      </c>
      <c r="I514" s="212" t="s">
        <v>323</v>
      </c>
      <c r="J514" s="213">
        <v>49010</v>
      </c>
      <c r="K514" s="213">
        <v>0</v>
      </c>
      <c r="L514" s="213">
        <v>49010</v>
      </c>
      <c r="M514" s="213">
        <f t="shared" si="425"/>
        <v>49010</v>
      </c>
      <c r="N514" s="207"/>
      <c r="O514" s="231"/>
      <c r="P514" s="230"/>
      <c r="Q514" s="230"/>
      <c r="R514" s="230"/>
      <c r="S514" s="213">
        <f t="shared" si="426"/>
        <v>0</v>
      </c>
      <c r="T514" s="216"/>
      <c r="U514" s="207"/>
      <c r="V514" s="216"/>
      <c r="W514" s="216"/>
      <c r="X514" s="216"/>
      <c r="Y514" s="213">
        <f t="shared" si="427"/>
        <v>0</v>
      </c>
      <c r="Z514" s="222" t="s">
        <v>1097</v>
      </c>
      <c r="AA514" s="228"/>
      <c r="AB514" s="218"/>
      <c r="AC514" s="220"/>
      <c r="AD514" s="220"/>
      <c r="AE514" s="220" t="str">
        <f t="shared" si="428"/>
        <v/>
      </c>
      <c r="AF514" s="229"/>
      <c r="AG514" s="220" t="str">
        <f t="shared" si="429"/>
        <v>2</v>
      </c>
      <c r="AH514" s="220" t="str">
        <f t="shared" si="376"/>
        <v>1</v>
      </c>
      <c r="AI514" s="220"/>
      <c r="AJ514" s="221" t="str">
        <f t="shared" si="430"/>
        <v>2</v>
      </c>
      <c r="AK514" s="220" t="str">
        <f t="shared" si="390"/>
        <v>2.1..2</v>
      </c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1:61" ht="16.5" customHeight="1" outlineLevel="1">
      <c r="A515" s="207"/>
      <c r="B515" s="201"/>
      <c r="C515" s="249" t="s">
        <v>1844</v>
      </c>
      <c r="D515" s="250">
        <f>SUM(D502:D514)</f>
        <v>8859.8354948954566</v>
      </c>
      <c r="E515" s="238">
        <f>COUNTIF(E502:E514,"D") + COUNTIF(E502:E514,"DS")</f>
        <v>3</v>
      </c>
      <c r="F515" s="254">
        <f>SUBTOTAL(9,F502:F514)</f>
        <v>91110</v>
      </c>
      <c r="G515" s="201"/>
      <c r="H515" s="240"/>
      <c r="I515" s="264"/>
      <c r="J515" s="254">
        <f t="shared" ref="J515:M515" si="431">SUBTOTAL(9,J505:J514)</f>
        <v>53510</v>
      </c>
      <c r="K515" s="254">
        <f t="shared" si="431"/>
        <v>0</v>
      </c>
      <c r="L515" s="254">
        <f t="shared" si="431"/>
        <v>53510</v>
      </c>
      <c r="M515" s="254">
        <f t="shared" si="431"/>
        <v>53510</v>
      </c>
      <c r="N515" s="201"/>
      <c r="O515" s="236"/>
      <c r="P515" s="255">
        <v>22600</v>
      </c>
      <c r="Q515" s="255">
        <v>15000</v>
      </c>
      <c r="R515" s="255">
        <v>37600</v>
      </c>
      <c r="S515" s="254">
        <f>SUBTOTAL(9,S505:S514)</f>
        <v>37600</v>
      </c>
      <c r="T515" s="203"/>
      <c r="U515" s="201">
        <v>1</v>
      </c>
      <c r="V515" s="203">
        <v>22600</v>
      </c>
      <c r="W515" s="203">
        <v>15000</v>
      </c>
      <c r="X515" s="203">
        <v>37600</v>
      </c>
      <c r="Y515" s="254">
        <f>SUBTOTAL(9,Y505:Y514)</f>
        <v>37600</v>
      </c>
      <c r="Z515" s="243" t="s">
        <v>1138</v>
      </c>
      <c r="AA515" s="228"/>
      <c r="AB515" s="218"/>
      <c r="AC515" s="220"/>
      <c r="AD515" s="220"/>
      <c r="AE515" s="244">
        <f>COUNTIF(AE502:AE514,"V") + COUNTIF(AE502:AE514,"VV") + COUNTIF(AE502:AE514,"VVV")</f>
        <v>0</v>
      </c>
      <c r="AF515" s="229"/>
      <c r="AG515" s="220"/>
      <c r="AH515" s="220" t="str">
        <f t="shared" si="376"/>
        <v>1</v>
      </c>
      <c r="AI515" s="220"/>
      <c r="AJ515" s="221"/>
      <c r="AK515" s="220" t="str">
        <f t="shared" si="390"/>
        <v>.1..</v>
      </c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1:61" ht="16.5" customHeight="1" outlineLevel="1">
      <c r="A516" s="207">
        <f t="shared" ref="A516:A544" si="432">SUBTOTAL(3,$B$6:B516)</f>
        <v>479</v>
      </c>
      <c r="B516" s="207">
        <v>1</v>
      </c>
      <c r="C516" s="208" t="s">
        <v>1845</v>
      </c>
      <c r="D516" s="247"/>
      <c r="E516" s="504" t="s">
        <v>661</v>
      </c>
      <c r="F516" s="213">
        <f t="shared" ref="F516:F544" si="433">IF(M516&gt;0,M516,IF(S516&gt;0,S516,IF(Y516&gt;0,Y516,0)))</f>
        <v>0</v>
      </c>
      <c r="G516" s="207"/>
      <c r="H516" s="281" t="e">
        <f t="shared" ref="H516:H544" si="434">VALUE(RIGHT(I516,4))</f>
        <v>#VALUE!</v>
      </c>
      <c r="I516" s="212"/>
      <c r="J516" s="213"/>
      <c r="K516" s="213"/>
      <c r="L516" s="213"/>
      <c r="M516" s="213">
        <f t="shared" ref="M516:M544" si="435">IF(L516&gt;0,L516,IF(J516&gt;0,J516,0))</f>
        <v>0</v>
      </c>
      <c r="N516" s="207"/>
      <c r="O516" s="231"/>
      <c r="P516" s="230"/>
      <c r="Q516" s="230"/>
      <c r="R516" s="230"/>
      <c r="S516" s="213">
        <f t="shared" ref="S516:S544" si="436">IF(R516&gt;0,R516,IF(P516&gt;0,P516,0))</f>
        <v>0</v>
      </c>
      <c r="T516" s="216"/>
      <c r="U516" s="207"/>
      <c r="V516" s="216"/>
      <c r="W516" s="216"/>
      <c r="X516" s="216"/>
      <c r="Y516" s="213">
        <f t="shared" ref="Y516:Y544" si="437">IF(X516&gt;0,X516,IF(V516&gt;0,V516,0))</f>
        <v>0</v>
      </c>
      <c r="Z516" s="222" t="s">
        <v>1097</v>
      </c>
      <c r="AA516" s="228"/>
      <c r="AB516" s="218"/>
      <c r="AC516" s="220"/>
      <c r="AD516" s="220"/>
      <c r="AE516" s="220" t="str">
        <f t="shared" ref="AE516:AE544" si="438">CONCATENATE(G516,N516,T516)</f>
        <v/>
      </c>
      <c r="AF516" s="229"/>
      <c r="AG516" s="220" t="e">
        <f t="shared" ref="AG516:AG544" si="439">IF(H516=0,"3",IF(H516&lt;=2018,"2","1"))</f>
        <v>#VALUE!</v>
      </c>
      <c r="AH516" s="220" t="str">
        <f t="shared" si="376"/>
        <v>2</v>
      </c>
      <c r="AI516" s="220"/>
      <c r="AJ516" s="221" t="str">
        <f t="shared" ref="AJ516:AJ544" si="440">IF(S516&gt;0,"1",IF(Y516&gt;0,"1","2"))</f>
        <v>2</v>
      </c>
      <c r="AK516" s="220" t="e">
        <f t="shared" si="390"/>
        <v>#VALUE!</v>
      </c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1:61" ht="16.5" customHeight="1" outlineLevel="1">
      <c r="A517" s="207">
        <f t="shared" si="432"/>
        <v>480</v>
      </c>
      <c r="B517" s="207">
        <v>2</v>
      </c>
      <c r="C517" s="208" t="s">
        <v>1846</v>
      </c>
      <c r="D517" s="247"/>
      <c r="E517" s="504" t="s">
        <v>661</v>
      </c>
      <c r="F517" s="213">
        <f t="shared" si="433"/>
        <v>0</v>
      </c>
      <c r="G517" s="207"/>
      <c r="H517" s="281" t="e">
        <f t="shared" si="434"/>
        <v>#VALUE!</v>
      </c>
      <c r="I517" s="212"/>
      <c r="J517" s="213"/>
      <c r="K517" s="213"/>
      <c r="L517" s="213"/>
      <c r="M517" s="213">
        <f t="shared" si="435"/>
        <v>0</v>
      </c>
      <c r="N517" s="207"/>
      <c r="O517" s="231"/>
      <c r="P517" s="230"/>
      <c r="Q517" s="230"/>
      <c r="R517" s="230"/>
      <c r="S517" s="213">
        <f t="shared" si="436"/>
        <v>0</v>
      </c>
      <c r="T517" s="216"/>
      <c r="U517" s="207"/>
      <c r="V517" s="216"/>
      <c r="W517" s="216"/>
      <c r="X517" s="216"/>
      <c r="Y517" s="213">
        <f t="shared" si="437"/>
        <v>0</v>
      </c>
      <c r="Z517" s="222" t="s">
        <v>1097</v>
      </c>
      <c r="AA517" s="228"/>
      <c r="AB517" s="218"/>
      <c r="AC517" s="220"/>
      <c r="AD517" s="220"/>
      <c r="AE517" s="220" t="str">
        <f t="shared" si="438"/>
        <v/>
      </c>
      <c r="AF517" s="229"/>
      <c r="AG517" s="220" t="e">
        <f t="shared" si="439"/>
        <v>#VALUE!</v>
      </c>
      <c r="AH517" s="220" t="str">
        <f t="shared" si="376"/>
        <v>2</v>
      </c>
      <c r="AI517" s="220"/>
      <c r="AJ517" s="221" t="str">
        <f t="shared" si="440"/>
        <v>2</v>
      </c>
      <c r="AK517" s="220" t="e">
        <f t="shared" si="390"/>
        <v>#VALUE!</v>
      </c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1:61" ht="16.5" customHeight="1" outlineLevel="1">
      <c r="A518" s="207">
        <f t="shared" si="432"/>
        <v>481</v>
      </c>
      <c r="B518" s="207">
        <v>3</v>
      </c>
      <c r="C518" s="208" t="s">
        <v>1847</v>
      </c>
      <c r="D518" s="247"/>
      <c r="E518" s="504" t="s">
        <v>661</v>
      </c>
      <c r="F518" s="213">
        <f t="shared" si="433"/>
        <v>0</v>
      </c>
      <c r="G518" s="207"/>
      <c r="H518" s="281" t="e">
        <f t="shared" si="434"/>
        <v>#VALUE!</v>
      </c>
      <c r="I518" s="212"/>
      <c r="J518" s="213"/>
      <c r="K518" s="213"/>
      <c r="L518" s="213"/>
      <c r="M518" s="213">
        <f t="shared" si="435"/>
        <v>0</v>
      </c>
      <c r="N518" s="207"/>
      <c r="O518" s="231"/>
      <c r="P518" s="230"/>
      <c r="Q518" s="230"/>
      <c r="R518" s="230"/>
      <c r="S518" s="213">
        <f t="shared" si="436"/>
        <v>0</v>
      </c>
      <c r="T518" s="216"/>
      <c r="U518" s="207"/>
      <c r="V518" s="216"/>
      <c r="W518" s="216"/>
      <c r="X518" s="216"/>
      <c r="Y518" s="213">
        <f t="shared" si="437"/>
        <v>0</v>
      </c>
      <c r="Z518" s="222" t="s">
        <v>1097</v>
      </c>
      <c r="AA518" s="228"/>
      <c r="AB518" s="218"/>
      <c r="AC518" s="220"/>
      <c r="AD518" s="220"/>
      <c r="AE518" s="220" t="str">
        <f t="shared" si="438"/>
        <v/>
      </c>
      <c r="AF518" s="229"/>
      <c r="AG518" s="220" t="e">
        <f t="shared" si="439"/>
        <v>#VALUE!</v>
      </c>
      <c r="AH518" s="220" t="str">
        <f t="shared" si="376"/>
        <v>2</v>
      </c>
      <c r="AI518" s="220"/>
      <c r="AJ518" s="221" t="str">
        <f t="shared" si="440"/>
        <v>2</v>
      </c>
      <c r="AK518" s="220" t="e">
        <f t="shared" si="390"/>
        <v>#VALUE!</v>
      </c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1:61" ht="16.5" customHeight="1" outlineLevel="1">
      <c r="A519" s="207">
        <f t="shared" si="432"/>
        <v>482</v>
      </c>
      <c r="B519" s="207">
        <v>4</v>
      </c>
      <c r="C519" s="208" t="s">
        <v>1848</v>
      </c>
      <c r="D519" s="247"/>
      <c r="E519" s="504" t="s">
        <v>661</v>
      </c>
      <c r="F519" s="213">
        <f t="shared" si="433"/>
        <v>0</v>
      </c>
      <c r="G519" s="207"/>
      <c r="H519" s="281" t="e">
        <f t="shared" si="434"/>
        <v>#VALUE!</v>
      </c>
      <c r="I519" s="212"/>
      <c r="J519" s="213"/>
      <c r="K519" s="213"/>
      <c r="L519" s="213"/>
      <c r="M519" s="213">
        <f t="shared" si="435"/>
        <v>0</v>
      </c>
      <c r="N519" s="207"/>
      <c r="O519" s="231"/>
      <c r="P519" s="230"/>
      <c r="Q519" s="230"/>
      <c r="R519" s="230"/>
      <c r="S519" s="213">
        <f t="shared" si="436"/>
        <v>0</v>
      </c>
      <c r="T519" s="216"/>
      <c r="U519" s="207"/>
      <c r="V519" s="216"/>
      <c r="W519" s="216"/>
      <c r="X519" s="216"/>
      <c r="Y519" s="213">
        <f t="shared" si="437"/>
        <v>0</v>
      </c>
      <c r="Z519" s="222" t="s">
        <v>1097</v>
      </c>
      <c r="AA519" s="228"/>
      <c r="AB519" s="218"/>
      <c r="AC519" s="220"/>
      <c r="AD519" s="220"/>
      <c r="AE519" s="220" t="str">
        <f t="shared" si="438"/>
        <v/>
      </c>
      <c r="AF519" s="229"/>
      <c r="AG519" s="220" t="e">
        <f t="shared" si="439"/>
        <v>#VALUE!</v>
      </c>
      <c r="AH519" s="220" t="str">
        <f t="shared" si="376"/>
        <v>2</v>
      </c>
      <c r="AI519" s="220"/>
      <c r="AJ519" s="221" t="str">
        <f t="shared" si="440"/>
        <v>2</v>
      </c>
      <c r="AK519" s="220" t="e">
        <f t="shared" si="390"/>
        <v>#VALUE!</v>
      </c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1:61" ht="16.5" customHeight="1" outlineLevel="2">
      <c r="A520" s="207">
        <f t="shared" si="432"/>
        <v>483</v>
      </c>
      <c r="B520" s="207">
        <v>5</v>
      </c>
      <c r="C520" s="245" t="s">
        <v>1849</v>
      </c>
      <c r="D520" s="209"/>
      <c r="E520" s="504" t="s">
        <v>91</v>
      </c>
      <c r="F520" s="213">
        <f t="shared" si="433"/>
        <v>23842</v>
      </c>
      <c r="G520" s="207"/>
      <c r="H520" s="281" t="e">
        <f t="shared" si="434"/>
        <v>#VALUE!</v>
      </c>
      <c r="I520" s="212"/>
      <c r="J520" s="213"/>
      <c r="K520" s="213"/>
      <c r="L520" s="213"/>
      <c r="M520" s="213">
        <f t="shared" si="435"/>
        <v>0</v>
      </c>
      <c r="N520" s="207" t="s">
        <v>1076</v>
      </c>
      <c r="O520" s="231" t="s">
        <v>1850</v>
      </c>
      <c r="P520" s="230">
        <v>23842</v>
      </c>
      <c r="Q520" s="230">
        <v>0</v>
      </c>
      <c r="R520" s="230">
        <v>23842</v>
      </c>
      <c r="S520" s="213">
        <f t="shared" si="436"/>
        <v>23842</v>
      </c>
      <c r="T520" s="216"/>
      <c r="U520" s="207" t="s">
        <v>1850</v>
      </c>
      <c r="V520" s="216">
        <v>23842</v>
      </c>
      <c r="W520" s="216">
        <v>0</v>
      </c>
      <c r="X520" s="216">
        <v>23842</v>
      </c>
      <c r="Y520" s="213">
        <f t="shared" si="437"/>
        <v>23842</v>
      </c>
      <c r="Z520" s="222">
        <v>2020</v>
      </c>
      <c r="AA520" s="228"/>
      <c r="AB520" s="218"/>
      <c r="AC520" s="220"/>
      <c r="AD520" s="220"/>
      <c r="AE520" s="220" t="str">
        <f t="shared" si="438"/>
        <v>V</v>
      </c>
      <c r="AF520" s="229"/>
      <c r="AG520" s="220" t="e">
        <f t="shared" si="439"/>
        <v>#VALUE!</v>
      </c>
      <c r="AH520" s="220" t="str">
        <f t="shared" si="376"/>
        <v>2</v>
      </c>
      <c r="AI520" s="220"/>
      <c r="AJ520" s="221" t="str">
        <f t="shared" si="440"/>
        <v>1</v>
      </c>
      <c r="AK520" s="220" t="e">
        <f t="shared" si="390"/>
        <v>#VALUE!</v>
      </c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1:61" ht="16.5" customHeight="1" outlineLevel="2">
      <c r="A521" s="207">
        <f t="shared" si="432"/>
        <v>484</v>
      </c>
      <c r="B521" s="207">
        <v>6</v>
      </c>
      <c r="C521" s="245" t="s">
        <v>1851</v>
      </c>
      <c r="D521" s="209"/>
      <c r="E521" s="504" t="s">
        <v>661</v>
      </c>
      <c r="F521" s="213">
        <f t="shared" si="433"/>
        <v>0</v>
      </c>
      <c r="G521" s="207"/>
      <c r="H521" s="281" t="e">
        <f t="shared" si="434"/>
        <v>#VALUE!</v>
      </c>
      <c r="I521" s="212"/>
      <c r="J521" s="213"/>
      <c r="K521" s="213"/>
      <c r="L521" s="213"/>
      <c r="M521" s="213">
        <f t="shared" si="435"/>
        <v>0</v>
      </c>
      <c r="N521" s="207"/>
      <c r="O521" s="231"/>
      <c r="P521" s="230"/>
      <c r="Q521" s="230"/>
      <c r="R521" s="230"/>
      <c r="S521" s="213">
        <f t="shared" si="436"/>
        <v>0</v>
      </c>
      <c r="T521" s="216"/>
      <c r="U521" s="207"/>
      <c r="V521" s="216"/>
      <c r="W521" s="216"/>
      <c r="X521" s="216"/>
      <c r="Y521" s="213">
        <f t="shared" si="437"/>
        <v>0</v>
      </c>
      <c r="Z521" s="222" t="s">
        <v>1097</v>
      </c>
      <c r="AA521" s="228"/>
      <c r="AB521" s="218"/>
      <c r="AC521" s="220"/>
      <c r="AD521" s="220"/>
      <c r="AE521" s="220" t="str">
        <f t="shared" si="438"/>
        <v/>
      </c>
      <c r="AF521" s="229"/>
      <c r="AG521" s="220" t="e">
        <f t="shared" si="439"/>
        <v>#VALUE!</v>
      </c>
      <c r="AH521" s="220" t="str">
        <f t="shared" si="376"/>
        <v>2</v>
      </c>
      <c r="AI521" s="220"/>
      <c r="AJ521" s="221" t="str">
        <f t="shared" si="440"/>
        <v>2</v>
      </c>
      <c r="AK521" s="220" t="e">
        <f t="shared" si="390"/>
        <v>#VALUE!</v>
      </c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1:61" ht="16.5" customHeight="1" outlineLevel="2">
      <c r="A522" s="207">
        <f t="shared" si="432"/>
        <v>485</v>
      </c>
      <c r="B522" s="207">
        <v>7</v>
      </c>
      <c r="C522" s="245" t="s">
        <v>1852</v>
      </c>
      <c r="D522" s="209">
        <v>826.5201722237457</v>
      </c>
      <c r="E522" s="504" t="s">
        <v>104</v>
      </c>
      <c r="F522" s="213">
        <f t="shared" si="433"/>
        <v>0</v>
      </c>
      <c r="G522" s="207"/>
      <c r="H522" s="281">
        <f t="shared" si="434"/>
        <v>2009</v>
      </c>
      <c r="I522" s="212" t="s">
        <v>1853</v>
      </c>
      <c r="J522" s="213">
        <v>0</v>
      </c>
      <c r="K522" s="213">
        <v>0</v>
      </c>
      <c r="L522" s="213">
        <v>0</v>
      </c>
      <c r="M522" s="213">
        <f t="shared" si="435"/>
        <v>0</v>
      </c>
      <c r="N522" s="207"/>
      <c r="O522" s="231"/>
      <c r="P522" s="230"/>
      <c r="Q522" s="230"/>
      <c r="R522" s="230"/>
      <c r="S522" s="213">
        <f t="shared" si="436"/>
        <v>0</v>
      </c>
      <c r="T522" s="216"/>
      <c r="U522" s="207"/>
      <c r="V522" s="216"/>
      <c r="W522" s="216"/>
      <c r="X522" s="216"/>
      <c r="Y522" s="213">
        <f t="shared" si="437"/>
        <v>0</v>
      </c>
      <c r="Z522" s="222" t="s">
        <v>1097</v>
      </c>
      <c r="AA522" s="228"/>
      <c r="AB522" s="218"/>
      <c r="AC522" s="220"/>
      <c r="AD522" s="220"/>
      <c r="AE522" s="220" t="str">
        <f t="shared" si="438"/>
        <v/>
      </c>
      <c r="AF522" s="229"/>
      <c r="AG522" s="220" t="str">
        <f t="shared" si="439"/>
        <v>2</v>
      </c>
      <c r="AH522" s="220" t="str">
        <f t="shared" si="376"/>
        <v>2</v>
      </c>
      <c r="AI522" s="220"/>
      <c r="AJ522" s="221" t="str">
        <f t="shared" si="440"/>
        <v>2</v>
      </c>
      <c r="AK522" s="220" t="str">
        <f t="shared" si="390"/>
        <v>2.2..2</v>
      </c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1:61" ht="16.5" customHeight="1" outlineLevel="2">
      <c r="A523" s="207">
        <f t="shared" si="432"/>
        <v>486</v>
      </c>
      <c r="B523" s="207">
        <v>8</v>
      </c>
      <c r="C523" s="245" t="s">
        <v>1854</v>
      </c>
      <c r="D523" s="209">
        <v>391.18495353980893</v>
      </c>
      <c r="E523" s="504" t="s">
        <v>661</v>
      </c>
      <c r="F523" s="213">
        <f t="shared" si="433"/>
        <v>0</v>
      </c>
      <c r="G523" s="207"/>
      <c r="H523" s="281" t="e">
        <f t="shared" si="434"/>
        <v>#VALUE!</v>
      </c>
      <c r="I523" s="212"/>
      <c r="J523" s="213"/>
      <c r="K523" s="213"/>
      <c r="L523" s="213"/>
      <c r="M523" s="213">
        <f t="shared" si="435"/>
        <v>0</v>
      </c>
      <c r="N523" s="207"/>
      <c r="O523" s="231"/>
      <c r="P523" s="230"/>
      <c r="Q523" s="230"/>
      <c r="R523" s="230"/>
      <c r="S523" s="213">
        <f t="shared" si="436"/>
        <v>0</v>
      </c>
      <c r="T523" s="216"/>
      <c r="U523" s="207"/>
      <c r="V523" s="216"/>
      <c r="W523" s="216"/>
      <c r="X523" s="216"/>
      <c r="Y523" s="213">
        <f t="shared" si="437"/>
        <v>0</v>
      </c>
      <c r="Z523" s="222" t="s">
        <v>1097</v>
      </c>
      <c r="AA523" s="228"/>
      <c r="AB523" s="218"/>
      <c r="AC523" s="220"/>
      <c r="AD523" s="220"/>
      <c r="AE523" s="220" t="str">
        <f t="shared" si="438"/>
        <v/>
      </c>
      <c r="AF523" s="229"/>
      <c r="AG523" s="220" t="e">
        <f t="shared" si="439"/>
        <v>#VALUE!</v>
      </c>
      <c r="AH523" s="220" t="str">
        <f t="shared" si="376"/>
        <v>2</v>
      </c>
      <c r="AI523" s="220"/>
      <c r="AJ523" s="221" t="str">
        <f t="shared" si="440"/>
        <v>2</v>
      </c>
      <c r="AK523" s="220" t="e">
        <f t="shared" si="390"/>
        <v>#VALUE!</v>
      </c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1:61" ht="16.5" customHeight="1" outlineLevel="2">
      <c r="A524" s="207">
        <f t="shared" si="432"/>
        <v>487</v>
      </c>
      <c r="B524" s="207">
        <v>9</v>
      </c>
      <c r="C524" s="245" t="s">
        <v>1855</v>
      </c>
      <c r="D524" s="209">
        <v>920.37385353103991</v>
      </c>
      <c r="E524" s="504" t="s">
        <v>661</v>
      </c>
      <c r="F524" s="213">
        <f t="shared" si="433"/>
        <v>0</v>
      </c>
      <c r="G524" s="207"/>
      <c r="H524" s="281" t="e">
        <f t="shared" si="434"/>
        <v>#VALUE!</v>
      </c>
      <c r="I524" s="212"/>
      <c r="J524" s="213"/>
      <c r="K524" s="213"/>
      <c r="L524" s="213"/>
      <c r="M524" s="213">
        <f t="shared" si="435"/>
        <v>0</v>
      </c>
      <c r="N524" s="207"/>
      <c r="O524" s="231"/>
      <c r="P524" s="230"/>
      <c r="Q524" s="230"/>
      <c r="R524" s="230"/>
      <c r="S524" s="213">
        <f t="shared" si="436"/>
        <v>0</v>
      </c>
      <c r="T524" s="216"/>
      <c r="U524" s="207"/>
      <c r="V524" s="216"/>
      <c r="W524" s="216"/>
      <c r="X524" s="216"/>
      <c r="Y524" s="213">
        <f t="shared" si="437"/>
        <v>0</v>
      </c>
      <c r="Z524" s="222" t="s">
        <v>1097</v>
      </c>
      <c r="AA524" s="228"/>
      <c r="AB524" s="218"/>
      <c r="AC524" s="220"/>
      <c r="AD524" s="220"/>
      <c r="AE524" s="220" t="str">
        <f t="shared" si="438"/>
        <v/>
      </c>
      <c r="AF524" s="229"/>
      <c r="AG524" s="220" t="e">
        <f t="shared" si="439"/>
        <v>#VALUE!</v>
      </c>
      <c r="AH524" s="220" t="str">
        <f t="shared" si="376"/>
        <v>2</v>
      </c>
      <c r="AI524" s="220"/>
      <c r="AJ524" s="221" t="str">
        <f t="shared" si="440"/>
        <v>2</v>
      </c>
      <c r="AK524" s="220" t="e">
        <f t="shared" si="390"/>
        <v>#VALUE!</v>
      </c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</row>
    <row r="525" spans="1:61" ht="16.5" customHeight="1" outlineLevel="2">
      <c r="A525" s="207">
        <f t="shared" si="432"/>
        <v>488</v>
      </c>
      <c r="B525" s="207">
        <v>10</v>
      </c>
      <c r="C525" s="245" t="s">
        <v>1856</v>
      </c>
      <c r="D525" s="209"/>
      <c r="E525" s="504" t="s">
        <v>661</v>
      </c>
      <c r="F525" s="213">
        <f t="shared" si="433"/>
        <v>0</v>
      </c>
      <c r="G525" s="207"/>
      <c r="H525" s="281" t="e">
        <f t="shared" si="434"/>
        <v>#VALUE!</v>
      </c>
      <c r="I525" s="212"/>
      <c r="J525" s="213"/>
      <c r="K525" s="213"/>
      <c r="L525" s="213"/>
      <c r="M525" s="213">
        <f t="shared" si="435"/>
        <v>0</v>
      </c>
      <c r="N525" s="207"/>
      <c r="O525" s="231"/>
      <c r="P525" s="230"/>
      <c r="Q525" s="230"/>
      <c r="R525" s="230"/>
      <c r="S525" s="213">
        <f t="shared" si="436"/>
        <v>0</v>
      </c>
      <c r="T525" s="216"/>
      <c r="U525" s="207"/>
      <c r="V525" s="216"/>
      <c r="W525" s="216"/>
      <c r="X525" s="216"/>
      <c r="Y525" s="213">
        <f t="shared" si="437"/>
        <v>0</v>
      </c>
      <c r="Z525" s="222" t="s">
        <v>1097</v>
      </c>
      <c r="AA525" s="228"/>
      <c r="AB525" s="218"/>
      <c r="AC525" s="220"/>
      <c r="AD525" s="220" t="s">
        <v>1857</v>
      </c>
      <c r="AE525" s="220" t="str">
        <f t="shared" si="438"/>
        <v/>
      </c>
      <c r="AF525" s="229"/>
      <c r="AG525" s="220" t="e">
        <f t="shared" si="439"/>
        <v>#VALUE!</v>
      </c>
      <c r="AH525" s="220" t="str">
        <f t="shared" si="376"/>
        <v>2</v>
      </c>
      <c r="AI525" s="220"/>
      <c r="AJ525" s="221" t="str">
        <f t="shared" si="440"/>
        <v>2</v>
      </c>
      <c r="AK525" s="220" t="e">
        <f t="shared" si="390"/>
        <v>#VALUE!</v>
      </c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</row>
    <row r="526" spans="1:61" ht="16.5" customHeight="1" outlineLevel="2">
      <c r="A526" s="207">
        <f t="shared" si="432"/>
        <v>489</v>
      </c>
      <c r="B526" s="207">
        <v>11</v>
      </c>
      <c r="C526" s="245" t="s">
        <v>1858</v>
      </c>
      <c r="D526" s="209">
        <v>897.11973109985149</v>
      </c>
      <c r="E526" s="504" t="s">
        <v>661</v>
      </c>
      <c r="F526" s="213">
        <f t="shared" si="433"/>
        <v>0</v>
      </c>
      <c r="G526" s="207"/>
      <c r="H526" s="281" t="e">
        <f t="shared" si="434"/>
        <v>#VALUE!</v>
      </c>
      <c r="I526" s="212"/>
      <c r="J526" s="213"/>
      <c r="K526" s="213"/>
      <c r="L526" s="213"/>
      <c r="M526" s="213">
        <f t="shared" si="435"/>
        <v>0</v>
      </c>
      <c r="N526" s="207"/>
      <c r="O526" s="231"/>
      <c r="P526" s="230"/>
      <c r="Q526" s="230"/>
      <c r="R526" s="230"/>
      <c r="S526" s="213">
        <f t="shared" si="436"/>
        <v>0</v>
      </c>
      <c r="T526" s="216"/>
      <c r="U526" s="207"/>
      <c r="V526" s="216"/>
      <c r="W526" s="216"/>
      <c r="X526" s="216"/>
      <c r="Y526" s="213">
        <f t="shared" si="437"/>
        <v>0</v>
      </c>
      <c r="Z526" s="222" t="s">
        <v>1097</v>
      </c>
      <c r="AA526" s="228"/>
      <c r="AB526" s="218"/>
      <c r="AC526" s="220"/>
      <c r="AD526" s="220" t="s">
        <v>1859</v>
      </c>
      <c r="AE526" s="220" t="str">
        <f t="shared" si="438"/>
        <v/>
      </c>
      <c r="AF526" s="229"/>
      <c r="AG526" s="220" t="e">
        <f t="shared" si="439"/>
        <v>#VALUE!</v>
      </c>
      <c r="AH526" s="220" t="str">
        <f t="shared" si="376"/>
        <v>2</v>
      </c>
      <c r="AI526" s="220"/>
      <c r="AJ526" s="221" t="str">
        <f t="shared" si="440"/>
        <v>2</v>
      </c>
      <c r="AK526" s="220" t="e">
        <f t="shared" si="390"/>
        <v>#VALUE!</v>
      </c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</row>
    <row r="527" spans="1:61" ht="16.5" customHeight="1" outlineLevel="2">
      <c r="A527" s="207">
        <f t="shared" si="432"/>
        <v>490</v>
      </c>
      <c r="B527" s="207">
        <v>12</v>
      </c>
      <c r="C527" s="245" t="s">
        <v>1860</v>
      </c>
      <c r="D527" s="209"/>
      <c r="E527" s="504" t="s">
        <v>661</v>
      </c>
      <c r="F527" s="213">
        <f t="shared" si="433"/>
        <v>0</v>
      </c>
      <c r="G527" s="207"/>
      <c r="H527" s="281" t="e">
        <f t="shared" si="434"/>
        <v>#VALUE!</v>
      </c>
      <c r="I527" s="212"/>
      <c r="J527" s="213"/>
      <c r="K527" s="213"/>
      <c r="L527" s="213"/>
      <c r="M527" s="213">
        <f t="shared" si="435"/>
        <v>0</v>
      </c>
      <c r="N527" s="207"/>
      <c r="O527" s="231"/>
      <c r="P527" s="230"/>
      <c r="Q527" s="230"/>
      <c r="R527" s="230"/>
      <c r="S527" s="213">
        <f t="shared" si="436"/>
        <v>0</v>
      </c>
      <c r="T527" s="216"/>
      <c r="U527" s="207"/>
      <c r="V527" s="216"/>
      <c r="W527" s="216"/>
      <c r="X527" s="216"/>
      <c r="Y527" s="213">
        <f t="shared" si="437"/>
        <v>0</v>
      </c>
      <c r="Z527" s="222" t="s">
        <v>1097</v>
      </c>
      <c r="AA527" s="228"/>
      <c r="AB527" s="218"/>
      <c r="AC527" s="220"/>
      <c r="AD527" s="220"/>
      <c r="AE527" s="220" t="str">
        <f t="shared" si="438"/>
        <v/>
      </c>
      <c r="AF527" s="229"/>
      <c r="AG527" s="220" t="e">
        <f t="shared" si="439"/>
        <v>#VALUE!</v>
      </c>
      <c r="AH527" s="220" t="str">
        <f t="shared" si="376"/>
        <v>2</v>
      </c>
      <c r="AI527" s="220"/>
      <c r="AJ527" s="221" t="str">
        <f t="shared" si="440"/>
        <v>2</v>
      </c>
      <c r="AK527" s="220" t="e">
        <f t="shared" si="390"/>
        <v>#VALUE!</v>
      </c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</row>
    <row r="528" spans="1:61" ht="16.5" customHeight="1" outlineLevel="2">
      <c r="A528" s="207">
        <f t="shared" si="432"/>
        <v>491</v>
      </c>
      <c r="B528" s="207">
        <v>13</v>
      </c>
      <c r="C528" s="245" t="s">
        <v>1861</v>
      </c>
      <c r="D528" s="209"/>
      <c r="E528" s="504" t="s">
        <v>661</v>
      </c>
      <c r="F528" s="213">
        <f t="shared" si="433"/>
        <v>0</v>
      </c>
      <c r="G528" s="207"/>
      <c r="H528" s="281" t="e">
        <f t="shared" si="434"/>
        <v>#VALUE!</v>
      </c>
      <c r="I528" s="212"/>
      <c r="J528" s="213"/>
      <c r="K528" s="213"/>
      <c r="L528" s="213"/>
      <c r="M528" s="213">
        <f t="shared" si="435"/>
        <v>0</v>
      </c>
      <c r="N528" s="207"/>
      <c r="O528" s="231"/>
      <c r="P528" s="230"/>
      <c r="Q528" s="230"/>
      <c r="R528" s="230"/>
      <c r="S528" s="213">
        <f t="shared" si="436"/>
        <v>0</v>
      </c>
      <c r="T528" s="216"/>
      <c r="U528" s="207"/>
      <c r="V528" s="216"/>
      <c r="W528" s="216"/>
      <c r="X528" s="216"/>
      <c r="Y528" s="213">
        <f t="shared" si="437"/>
        <v>0</v>
      </c>
      <c r="Z528" s="222" t="s">
        <v>1097</v>
      </c>
      <c r="AA528" s="228"/>
      <c r="AB528" s="218"/>
      <c r="AC528" s="220"/>
      <c r="AD528" s="220"/>
      <c r="AE528" s="220" t="str">
        <f t="shared" si="438"/>
        <v/>
      </c>
      <c r="AF528" s="229"/>
      <c r="AG528" s="220" t="e">
        <f t="shared" si="439"/>
        <v>#VALUE!</v>
      </c>
      <c r="AH528" s="220" t="str">
        <f t="shared" si="376"/>
        <v>2</v>
      </c>
      <c r="AI528" s="220"/>
      <c r="AJ528" s="221" t="str">
        <f t="shared" si="440"/>
        <v>2</v>
      </c>
      <c r="AK528" s="220" t="e">
        <f t="shared" si="390"/>
        <v>#VALUE!</v>
      </c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</row>
    <row r="529" spans="1:61" ht="16.5" customHeight="1" outlineLevel="2">
      <c r="A529" s="207">
        <f t="shared" si="432"/>
        <v>492</v>
      </c>
      <c r="B529" s="207">
        <v>14</v>
      </c>
      <c r="C529" s="245" t="s">
        <v>1862</v>
      </c>
      <c r="D529" s="209"/>
      <c r="E529" s="504" t="s">
        <v>661</v>
      </c>
      <c r="F529" s="213">
        <f t="shared" si="433"/>
        <v>0</v>
      </c>
      <c r="G529" s="207"/>
      <c r="H529" s="281" t="e">
        <f t="shared" si="434"/>
        <v>#VALUE!</v>
      </c>
      <c r="I529" s="212"/>
      <c r="J529" s="213"/>
      <c r="K529" s="213"/>
      <c r="L529" s="213"/>
      <c r="M529" s="213">
        <f t="shared" si="435"/>
        <v>0</v>
      </c>
      <c r="N529" s="207"/>
      <c r="O529" s="231"/>
      <c r="P529" s="230"/>
      <c r="Q529" s="230"/>
      <c r="R529" s="230"/>
      <c r="S529" s="213">
        <f t="shared" si="436"/>
        <v>0</v>
      </c>
      <c r="T529" s="216"/>
      <c r="U529" s="207"/>
      <c r="V529" s="216"/>
      <c r="W529" s="216"/>
      <c r="X529" s="216"/>
      <c r="Y529" s="213">
        <f t="shared" si="437"/>
        <v>0</v>
      </c>
      <c r="Z529" s="222" t="s">
        <v>1097</v>
      </c>
      <c r="AA529" s="228"/>
      <c r="AB529" s="218"/>
      <c r="AC529" s="220"/>
      <c r="AD529" s="220"/>
      <c r="AE529" s="220" t="str">
        <f t="shared" si="438"/>
        <v/>
      </c>
      <c r="AF529" s="229"/>
      <c r="AG529" s="220" t="e">
        <f t="shared" si="439"/>
        <v>#VALUE!</v>
      </c>
      <c r="AH529" s="220" t="str">
        <f t="shared" si="376"/>
        <v>2</v>
      </c>
      <c r="AI529" s="220"/>
      <c r="AJ529" s="221" t="str">
        <f t="shared" si="440"/>
        <v>2</v>
      </c>
      <c r="AK529" s="220" t="e">
        <f t="shared" si="390"/>
        <v>#VALUE!</v>
      </c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</row>
    <row r="530" spans="1:61" ht="16.5" customHeight="1" outlineLevel="2">
      <c r="A530" s="207">
        <f t="shared" si="432"/>
        <v>493</v>
      </c>
      <c r="B530" s="207">
        <v>15</v>
      </c>
      <c r="C530" s="245" t="s">
        <v>1863</v>
      </c>
      <c r="D530" s="209">
        <v>42.241318156858</v>
      </c>
      <c r="E530" s="504" t="s">
        <v>661</v>
      </c>
      <c r="F530" s="213">
        <f t="shared" si="433"/>
        <v>0</v>
      </c>
      <c r="G530" s="207"/>
      <c r="H530" s="281" t="e">
        <f t="shared" si="434"/>
        <v>#VALUE!</v>
      </c>
      <c r="I530" s="212"/>
      <c r="J530" s="213"/>
      <c r="K530" s="213"/>
      <c r="L530" s="213"/>
      <c r="M530" s="213">
        <f t="shared" si="435"/>
        <v>0</v>
      </c>
      <c r="N530" s="207"/>
      <c r="O530" s="231"/>
      <c r="P530" s="230"/>
      <c r="Q530" s="230"/>
      <c r="R530" s="230"/>
      <c r="S530" s="213">
        <f t="shared" si="436"/>
        <v>0</v>
      </c>
      <c r="T530" s="216"/>
      <c r="U530" s="207"/>
      <c r="V530" s="216"/>
      <c r="W530" s="216"/>
      <c r="X530" s="216"/>
      <c r="Y530" s="213">
        <f t="shared" si="437"/>
        <v>0</v>
      </c>
      <c r="Z530" s="222" t="s">
        <v>1097</v>
      </c>
      <c r="AA530" s="228"/>
      <c r="AB530" s="218"/>
      <c r="AC530" s="220"/>
      <c r="AD530" s="220"/>
      <c r="AE530" s="220" t="str">
        <f t="shared" si="438"/>
        <v/>
      </c>
      <c r="AF530" s="229"/>
      <c r="AG530" s="220" t="e">
        <f t="shared" si="439"/>
        <v>#VALUE!</v>
      </c>
      <c r="AH530" s="220" t="str">
        <f t="shared" si="376"/>
        <v>2</v>
      </c>
      <c r="AI530" s="220"/>
      <c r="AJ530" s="221" t="str">
        <f t="shared" si="440"/>
        <v>2</v>
      </c>
      <c r="AK530" s="220" t="e">
        <f t="shared" si="390"/>
        <v>#VALUE!</v>
      </c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</row>
    <row r="531" spans="1:61" ht="16.5" customHeight="1" outlineLevel="2">
      <c r="A531" s="207">
        <f t="shared" si="432"/>
        <v>494</v>
      </c>
      <c r="B531" s="207">
        <v>16</v>
      </c>
      <c r="C531" s="245" t="s">
        <v>1864</v>
      </c>
      <c r="D531" s="209">
        <v>30258.299702080792</v>
      </c>
      <c r="E531" s="504" t="s">
        <v>91</v>
      </c>
      <c r="F531" s="213">
        <f t="shared" si="433"/>
        <v>30432.39</v>
      </c>
      <c r="G531" s="207"/>
      <c r="H531" s="281" t="e">
        <f t="shared" si="434"/>
        <v>#VALUE!</v>
      </c>
      <c r="I531" s="212"/>
      <c r="J531" s="213"/>
      <c r="K531" s="213"/>
      <c r="L531" s="213"/>
      <c r="M531" s="213">
        <f t="shared" si="435"/>
        <v>0</v>
      </c>
      <c r="N531" s="313" t="s">
        <v>1076</v>
      </c>
      <c r="O531" s="525" t="s">
        <v>1865</v>
      </c>
      <c r="P531" s="314">
        <v>30432.39</v>
      </c>
      <c r="Q531" s="314"/>
      <c r="R531" s="314"/>
      <c r="S531" s="213">
        <f t="shared" si="436"/>
        <v>30432.39</v>
      </c>
      <c r="T531" s="216"/>
      <c r="U531" s="207"/>
      <c r="V531" s="216"/>
      <c r="W531" s="216"/>
      <c r="X531" s="216"/>
      <c r="Y531" s="213">
        <f t="shared" si="437"/>
        <v>0</v>
      </c>
      <c r="Z531" s="222" t="s">
        <v>1347</v>
      </c>
      <c r="AA531" s="228"/>
      <c r="AB531" s="218"/>
      <c r="AC531" s="220" t="s">
        <v>1077</v>
      </c>
      <c r="AD531" s="220" t="s">
        <v>1866</v>
      </c>
      <c r="AE531" s="220" t="str">
        <f t="shared" si="438"/>
        <v>V</v>
      </c>
      <c r="AF531" s="229"/>
      <c r="AG531" s="220" t="e">
        <f t="shared" si="439"/>
        <v>#VALUE!</v>
      </c>
      <c r="AH531" s="220" t="str">
        <f t="shared" si="376"/>
        <v>2</v>
      </c>
      <c r="AI531" s="220"/>
      <c r="AJ531" s="221" t="str">
        <f t="shared" si="440"/>
        <v>1</v>
      </c>
      <c r="AK531" s="220" t="e">
        <f t="shared" si="390"/>
        <v>#VALUE!</v>
      </c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</row>
    <row r="532" spans="1:61" ht="16.5" customHeight="1" outlineLevel="2">
      <c r="A532" s="207">
        <f t="shared" si="432"/>
        <v>495</v>
      </c>
      <c r="B532" s="207">
        <v>17</v>
      </c>
      <c r="C532" s="245" t="s">
        <v>1867</v>
      </c>
      <c r="D532" s="209">
        <v>157.983717346346</v>
      </c>
      <c r="E532" s="504" t="s">
        <v>661</v>
      </c>
      <c r="F532" s="213">
        <f t="shared" si="433"/>
        <v>0</v>
      </c>
      <c r="G532" s="207"/>
      <c r="H532" s="281" t="e">
        <f t="shared" si="434"/>
        <v>#VALUE!</v>
      </c>
      <c r="I532" s="212"/>
      <c r="J532" s="213"/>
      <c r="K532" s="213"/>
      <c r="L532" s="213"/>
      <c r="M532" s="213">
        <f t="shared" si="435"/>
        <v>0</v>
      </c>
      <c r="N532" s="207"/>
      <c r="O532" s="231"/>
      <c r="P532" s="230"/>
      <c r="Q532" s="230"/>
      <c r="R532" s="230"/>
      <c r="S532" s="213">
        <f t="shared" si="436"/>
        <v>0</v>
      </c>
      <c r="T532" s="216"/>
      <c r="U532" s="207"/>
      <c r="V532" s="216"/>
      <c r="W532" s="216"/>
      <c r="X532" s="216"/>
      <c r="Y532" s="213">
        <f t="shared" si="437"/>
        <v>0</v>
      </c>
      <c r="Z532" s="222" t="s">
        <v>1097</v>
      </c>
      <c r="AA532" s="228"/>
      <c r="AB532" s="218"/>
      <c r="AC532" s="220"/>
      <c r="AD532" s="220" t="s">
        <v>1868</v>
      </c>
      <c r="AE532" s="220" t="str">
        <f t="shared" si="438"/>
        <v/>
      </c>
      <c r="AF532" s="229"/>
      <c r="AG532" s="220" t="e">
        <f t="shared" si="439"/>
        <v>#VALUE!</v>
      </c>
      <c r="AH532" s="220" t="str">
        <f t="shared" si="376"/>
        <v>2</v>
      </c>
      <c r="AI532" s="220"/>
      <c r="AJ532" s="221" t="str">
        <f t="shared" si="440"/>
        <v>2</v>
      </c>
      <c r="AK532" s="220" t="e">
        <f t="shared" si="390"/>
        <v>#VALUE!</v>
      </c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</row>
    <row r="533" spans="1:61" ht="16.5" customHeight="1" outlineLevel="2">
      <c r="A533" s="207">
        <f t="shared" si="432"/>
        <v>496</v>
      </c>
      <c r="B533" s="207">
        <v>18</v>
      </c>
      <c r="C533" s="245" t="s">
        <v>1869</v>
      </c>
      <c r="D533" s="209">
        <v>2404.8065652161958</v>
      </c>
      <c r="E533" s="504" t="s">
        <v>104</v>
      </c>
      <c r="F533" s="213">
        <f t="shared" si="433"/>
        <v>34500</v>
      </c>
      <c r="G533" s="207"/>
      <c r="H533" s="281">
        <f t="shared" si="434"/>
        <v>2018</v>
      </c>
      <c r="I533" s="212" t="s">
        <v>151</v>
      </c>
      <c r="J533" s="213">
        <v>34500</v>
      </c>
      <c r="K533" s="213">
        <v>0</v>
      </c>
      <c r="L533" s="213">
        <v>0</v>
      </c>
      <c r="M533" s="213">
        <f t="shared" si="435"/>
        <v>34500</v>
      </c>
      <c r="N533" s="207"/>
      <c r="O533" s="231"/>
      <c r="P533" s="230"/>
      <c r="Q533" s="230"/>
      <c r="R533" s="230"/>
      <c r="S533" s="213">
        <f t="shared" si="436"/>
        <v>0</v>
      </c>
      <c r="T533" s="216"/>
      <c r="U533" s="207"/>
      <c r="V533" s="216"/>
      <c r="W533" s="216"/>
      <c r="X533" s="216"/>
      <c r="Y533" s="213">
        <f t="shared" si="437"/>
        <v>0</v>
      </c>
      <c r="Z533" s="222" t="s">
        <v>1097</v>
      </c>
      <c r="AA533" s="228"/>
      <c r="AB533" s="218"/>
      <c r="AC533" s="220"/>
      <c r="AD533" s="220"/>
      <c r="AE533" s="220" t="str">
        <f t="shared" si="438"/>
        <v/>
      </c>
      <c r="AF533" s="229"/>
      <c r="AG533" s="220" t="str">
        <f t="shared" si="439"/>
        <v>2</v>
      </c>
      <c r="AH533" s="220" t="str">
        <f t="shared" si="376"/>
        <v>1</v>
      </c>
      <c r="AI533" s="220"/>
      <c r="AJ533" s="221" t="str">
        <f t="shared" si="440"/>
        <v>2</v>
      </c>
      <c r="AK533" s="220" t="str">
        <f t="shared" si="390"/>
        <v>2.1..2</v>
      </c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</row>
    <row r="534" spans="1:61" ht="16.5" customHeight="1" outlineLevel="2">
      <c r="A534" s="207">
        <f t="shared" si="432"/>
        <v>497</v>
      </c>
      <c r="B534" s="207">
        <v>19</v>
      </c>
      <c r="C534" s="245" t="s">
        <v>1870</v>
      </c>
      <c r="D534" s="209"/>
      <c r="E534" s="504" t="s">
        <v>661</v>
      </c>
      <c r="F534" s="213">
        <f t="shared" si="433"/>
        <v>0</v>
      </c>
      <c r="G534" s="207"/>
      <c r="H534" s="281" t="e">
        <f t="shared" si="434"/>
        <v>#VALUE!</v>
      </c>
      <c r="I534" s="212"/>
      <c r="J534" s="213"/>
      <c r="K534" s="213"/>
      <c r="L534" s="213"/>
      <c r="M534" s="213">
        <f t="shared" si="435"/>
        <v>0</v>
      </c>
      <c r="N534" s="207"/>
      <c r="O534" s="231"/>
      <c r="P534" s="230"/>
      <c r="Q534" s="230"/>
      <c r="R534" s="230"/>
      <c r="S534" s="213">
        <f t="shared" si="436"/>
        <v>0</v>
      </c>
      <c r="T534" s="216"/>
      <c r="U534" s="207"/>
      <c r="V534" s="216"/>
      <c r="W534" s="216"/>
      <c r="X534" s="216"/>
      <c r="Y534" s="213">
        <f t="shared" si="437"/>
        <v>0</v>
      </c>
      <c r="Z534" s="222" t="s">
        <v>1097</v>
      </c>
      <c r="AA534" s="228"/>
      <c r="AB534" s="218"/>
      <c r="AC534" s="220"/>
      <c r="AD534" s="220"/>
      <c r="AE534" s="220" t="str">
        <f t="shared" si="438"/>
        <v/>
      </c>
      <c r="AF534" s="229"/>
      <c r="AG534" s="220" t="e">
        <f t="shared" si="439"/>
        <v>#VALUE!</v>
      </c>
      <c r="AH534" s="220" t="str">
        <f t="shared" si="376"/>
        <v>2</v>
      </c>
      <c r="AI534" s="220"/>
      <c r="AJ534" s="221" t="str">
        <f t="shared" si="440"/>
        <v>2</v>
      </c>
      <c r="AK534" s="220" t="e">
        <f t="shared" si="390"/>
        <v>#VALUE!</v>
      </c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</row>
    <row r="535" spans="1:61" ht="16.5" customHeight="1" outlineLevel="2">
      <c r="A535" s="207">
        <f t="shared" si="432"/>
        <v>498</v>
      </c>
      <c r="B535" s="207">
        <v>20</v>
      </c>
      <c r="C535" s="245" t="s">
        <v>1871</v>
      </c>
      <c r="D535" s="209"/>
      <c r="E535" s="504" t="s">
        <v>661</v>
      </c>
      <c r="F535" s="213">
        <f t="shared" si="433"/>
        <v>0</v>
      </c>
      <c r="G535" s="207"/>
      <c r="H535" s="281" t="e">
        <f t="shared" si="434"/>
        <v>#VALUE!</v>
      </c>
      <c r="I535" s="212"/>
      <c r="J535" s="213"/>
      <c r="K535" s="213"/>
      <c r="L535" s="213"/>
      <c r="M535" s="213">
        <f t="shared" si="435"/>
        <v>0</v>
      </c>
      <c r="N535" s="207"/>
      <c r="O535" s="231"/>
      <c r="P535" s="230"/>
      <c r="Q535" s="230"/>
      <c r="R535" s="230"/>
      <c r="S535" s="213">
        <f t="shared" si="436"/>
        <v>0</v>
      </c>
      <c r="T535" s="216"/>
      <c r="U535" s="207"/>
      <c r="V535" s="216"/>
      <c r="W535" s="216"/>
      <c r="X535" s="216"/>
      <c r="Y535" s="213">
        <f t="shared" si="437"/>
        <v>0</v>
      </c>
      <c r="Z535" s="222" t="s">
        <v>1097</v>
      </c>
      <c r="AA535" s="228"/>
      <c r="AB535" s="218"/>
      <c r="AC535" s="220"/>
      <c r="AD535" s="220"/>
      <c r="AE535" s="220" t="str">
        <f t="shared" si="438"/>
        <v/>
      </c>
      <c r="AF535" s="229"/>
      <c r="AG535" s="220" t="e">
        <f t="shared" si="439"/>
        <v>#VALUE!</v>
      </c>
      <c r="AH535" s="220" t="str">
        <f t="shared" si="376"/>
        <v>2</v>
      </c>
      <c r="AI535" s="220"/>
      <c r="AJ535" s="221" t="str">
        <f t="shared" si="440"/>
        <v>2</v>
      </c>
      <c r="AK535" s="220" t="e">
        <f t="shared" si="390"/>
        <v>#VALUE!</v>
      </c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</row>
    <row r="536" spans="1:61" ht="16.5" customHeight="1" outlineLevel="2">
      <c r="A536" s="207">
        <f t="shared" si="432"/>
        <v>499</v>
      </c>
      <c r="B536" s="207">
        <v>21</v>
      </c>
      <c r="C536" s="245" t="s">
        <v>1872</v>
      </c>
      <c r="D536" s="209">
        <v>23.819142198600002</v>
      </c>
      <c r="E536" s="504" t="s">
        <v>661</v>
      </c>
      <c r="F536" s="213">
        <f t="shared" si="433"/>
        <v>0</v>
      </c>
      <c r="G536" s="207"/>
      <c r="H536" s="281" t="e">
        <f t="shared" si="434"/>
        <v>#VALUE!</v>
      </c>
      <c r="I536" s="212"/>
      <c r="J536" s="213"/>
      <c r="K536" s="213"/>
      <c r="L536" s="213"/>
      <c r="M536" s="213">
        <f t="shared" si="435"/>
        <v>0</v>
      </c>
      <c r="N536" s="207"/>
      <c r="O536" s="231"/>
      <c r="P536" s="230"/>
      <c r="Q536" s="230"/>
      <c r="R536" s="230"/>
      <c r="S536" s="213">
        <f t="shared" si="436"/>
        <v>0</v>
      </c>
      <c r="T536" s="216"/>
      <c r="U536" s="207"/>
      <c r="V536" s="216"/>
      <c r="W536" s="216"/>
      <c r="X536" s="216"/>
      <c r="Y536" s="213">
        <f t="shared" si="437"/>
        <v>0</v>
      </c>
      <c r="Z536" s="222" t="s">
        <v>1097</v>
      </c>
      <c r="AA536" s="228"/>
      <c r="AB536" s="218"/>
      <c r="AC536" s="220"/>
      <c r="AD536" s="220"/>
      <c r="AE536" s="220" t="str">
        <f t="shared" si="438"/>
        <v/>
      </c>
      <c r="AF536" s="229"/>
      <c r="AG536" s="220" t="e">
        <f t="shared" si="439"/>
        <v>#VALUE!</v>
      </c>
      <c r="AH536" s="220" t="str">
        <f t="shared" si="376"/>
        <v>2</v>
      </c>
      <c r="AI536" s="220"/>
      <c r="AJ536" s="221" t="str">
        <f t="shared" si="440"/>
        <v>2</v>
      </c>
      <c r="AK536" s="220" t="e">
        <f t="shared" si="390"/>
        <v>#VALUE!</v>
      </c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</row>
    <row r="537" spans="1:61" ht="16.5" customHeight="1" outlineLevel="2">
      <c r="A537" s="207">
        <f t="shared" si="432"/>
        <v>500</v>
      </c>
      <c r="B537" s="207">
        <v>22</v>
      </c>
      <c r="C537" s="245" t="s">
        <v>1873</v>
      </c>
      <c r="D537" s="209"/>
      <c r="E537" s="504" t="s">
        <v>661</v>
      </c>
      <c r="F537" s="213">
        <f t="shared" si="433"/>
        <v>0</v>
      </c>
      <c r="G537" s="207"/>
      <c r="H537" s="281" t="e">
        <f t="shared" si="434"/>
        <v>#VALUE!</v>
      </c>
      <c r="I537" s="212"/>
      <c r="J537" s="213"/>
      <c r="K537" s="213"/>
      <c r="L537" s="213"/>
      <c r="M537" s="213">
        <f t="shared" si="435"/>
        <v>0</v>
      </c>
      <c r="N537" s="207"/>
      <c r="O537" s="231"/>
      <c r="P537" s="230"/>
      <c r="Q537" s="230"/>
      <c r="R537" s="230"/>
      <c r="S537" s="213">
        <f t="shared" si="436"/>
        <v>0</v>
      </c>
      <c r="T537" s="216"/>
      <c r="U537" s="207"/>
      <c r="V537" s="216"/>
      <c r="W537" s="216"/>
      <c r="X537" s="216"/>
      <c r="Y537" s="213">
        <f t="shared" si="437"/>
        <v>0</v>
      </c>
      <c r="Z537" s="222" t="s">
        <v>1097</v>
      </c>
      <c r="AA537" s="228"/>
      <c r="AB537" s="218"/>
      <c r="AC537" s="220"/>
      <c r="AD537" s="220"/>
      <c r="AE537" s="220" t="str">
        <f t="shared" si="438"/>
        <v/>
      </c>
      <c r="AF537" s="229"/>
      <c r="AG537" s="220" t="e">
        <f t="shared" si="439"/>
        <v>#VALUE!</v>
      </c>
      <c r="AH537" s="220" t="str">
        <f t="shared" si="376"/>
        <v>2</v>
      </c>
      <c r="AI537" s="220"/>
      <c r="AJ537" s="221" t="str">
        <f t="shared" si="440"/>
        <v>2</v>
      </c>
      <c r="AK537" s="220" t="e">
        <f t="shared" si="390"/>
        <v>#VALUE!</v>
      </c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</row>
    <row r="538" spans="1:61" ht="16.5" customHeight="1" outlineLevel="2">
      <c r="A538" s="207">
        <f t="shared" si="432"/>
        <v>501</v>
      </c>
      <c r="B538" s="207">
        <v>23</v>
      </c>
      <c r="C538" s="245" t="s">
        <v>1874</v>
      </c>
      <c r="D538" s="209"/>
      <c r="E538" s="504" t="s">
        <v>661</v>
      </c>
      <c r="F538" s="213">
        <f t="shared" si="433"/>
        <v>0</v>
      </c>
      <c r="G538" s="207"/>
      <c r="H538" s="281" t="e">
        <f t="shared" si="434"/>
        <v>#VALUE!</v>
      </c>
      <c r="I538" s="212"/>
      <c r="J538" s="213"/>
      <c r="K538" s="213"/>
      <c r="L538" s="213"/>
      <c r="M538" s="213">
        <f t="shared" si="435"/>
        <v>0</v>
      </c>
      <c r="N538" s="207"/>
      <c r="O538" s="231"/>
      <c r="P538" s="230"/>
      <c r="Q538" s="230"/>
      <c r="R538" s="230"/>
      <c r="S538" s="213">
        <f t="shared" si="436"/>
        <v>0</v>
      </c>
      <c r="T538" s="216"/>
      <c r="U538" s="207"/>
      <c r="V538" s="216"/>
      <c r="W538" s="216"/>
      <c r="X538" s="216"/>
      <c r="Y538" s="213">
        <f t="shared" si="437"/>
        <v>0</v>
      </c>
      <c r="Z538" s="222" t="s">
        <v>1097</v>
      </c>
      <c r="AA538" s="228"/>
      <c r="AB538" s="218"/>
      <c r="AC538" s="220"/>
      <c r="AD538" s="220"/>
      <c r="AE538" s="220" t="str">
        <f t="shared" si="438"/>
        <v/>
      </c>
      <c r="AF538" s="229"/>
      <c r="AG538" s="220" t="e">
        <f t="shared" si="439"/>
        <v>#VALUE!</v>
      </c>
      <c r="AH538" s="220" t="str">
        <f t="shared" si="376"/>
        <v>2</v>
      </c>
      <c r="AI538" s="220"/>
      <c r="AJ538" s="221" t="str">
        <f t="shared" si="440"/>
        <v>2</v>
      </c>
      <c r="AK538" s="220" t="e">
        <f t="shared" si="390"/>
        <v>#VALUE!</v>
      </c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</row>
    <row r="539" spans="1:61" ht="16.5" customHeight="1" outlineLevel="2">
      <c r="A539" s="207">
        <f t="shared" si="432"/>
        <v>502</v>
      </c>
      <c r="B539" s="207">
        <v>24</v>
      </c>
      <c r="C539" s="245" t="s">
        <v>1875</v>
      </c>
      <c r="D539" s="209">
        <v>251.15996419909499</v>
      </c>
      <c r="E539" s="504" t="s">
        <v>661</v>
      </c>
      <c r="F539" s="213">
        <f t="shared" si="433"/>
        <v>0</v>
      </c>
      <c r="G539" s="207"/>
      <c r="H539" s="281" t="e">
        <f t="shared" si="434"/>
        <v>#VALUE!</v>
      </c>
      <c r="I539" s="212"/>
      <c r="J539" s="213"/>
      <c r="K539" s="213"/>
      <c r="L539" s="213"/>
      <c r="M539" s="213">
        <f t="shared" si="435"/>
        <v>0</v>
      </c>
      <c r="N539" s="207"/>
      <c r="O539" s="231"/>
      <c r="P539" s="230"/>
      <c r="Q539" s="230"/>
      <c r="R539" s="230"/>
      <c r="S539" s="213">
        <f t="shared" si="436"/>
        <v>0</v>
      </c>
      <c r="T539" s="216"/>
      <c r="U539" s="207"/>
      <c r="V539" s="216"/>
      <c r="W539" s="216"/>
      <c r="X539" s="216"/>
      <c r="Y539" s="213">
        <f t="shared" si="437"/>
        <v>0</v>
      </c>
      <c r="Z539" s="222" t="s">
        <v>1097</v>
      </c>
      <c r="AA539" s="228"/>
      <c r="AB539" s="218"/>
      <c r="AC539" s="220"/>
      <c r="AD539" s="220"/>
      <c r="AE539" s="220" t="str">
        <f t="shared" si="438"/>
        <v/>
      </c>
      <c r="AF539" s="229"/>
      <c r="AG539" s="220" t="e">
        <f t="shared" si="439"/>
        <v>#VALUE!</v>
      </c>
      <c r="AH539" s="220" t="str">
        <f t="shared" si="376"/>
        <v>2</v>
      </c>
      <c r="AI539" s="220"/>
      <c r="AJ539" s="221" t="str">
        <f t="shared" si="440"/>
        <v>2</v>
      </c>
      <c r="AK539" s="220" t="e">
        <f t="shared" si="390"/>
        <v>#VALUE!</v>
      </c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</row>
    <row r="540" spans="1:61" ht="16.5" customHeight="1" outlineLevel="2">
      <c r="A540" s="207">
        <f t="shared" si="432"/>
        <v>503</v>
      </c>
      <c r="B540" s="207">
        <v>25</v>
      </c>
      <c r="C540" s="245" t="s">
        <v>1876</v>
      </c>
      <c r="D540" s="209"/>
      <c r="E540" s="504" t="s">
        <v>661</v>
      </c>
      <c r="F540" s="213">
        <f t="shared" si="433"/>
        <v>0</v>
      </c>
      <c r="G540" s="207"/>
      <c r="H540" s="281" t="e">
        <f t="shared" si="434"/>
        <v>#VALUE!</v>
      </c>
      <c r="I540" s="212"/>
      <c r="J540" s="213"/>
      <c r="K540" s="213"/>
      <c r="L540" s="213"/>
      <c r="M540" s="213">
        <f t="shared" si="435"/>
        <v>0</v>
      </c>
      <c r="N540" s="207"/>
      <c r="O540" s="231"/>
      <c r="P540" s="230"/>
      <c r="Q540" s="230"/>
      <c r="R540" s="230"/>
      <c r="S540" s="213">
        <f t="shared" si="436"/>
        <v>0</v>
      </c>
      <c r="T540" s="216"/>
      <c r="U540" s="207"/>
      <c r="V540" s="216"/>
      <c r="W540" s="216"/>
      <c r="X540" s="216"/>
      <c r="Y540" s="213">
        <f t="shared" si="437"/>
        <v>0</v>
      </c>
      <c r="Z540" s="222" t="s">
        <v>1097</v>
      </c>
      <c r="AA540" s="228"/>
      <c r="AB540" s="218"/>
      <c r="AC540" s="220"/>
      <c r="AD540" s="220"/>
      <c r="AE540" s="220" t="str">
        <f t="shared" si="438"/>
        <v/>
      </c>
      <c r="AF540" s="229"/>
      <c r="AG540" s="220" t="e">
        <f t="shared" si="439"/>
        <v>#VALUE!</v>
      </c>
      <c r="AH540" s="220" t="str">
        <f t="shared" si="376"/>
        <v>2</v>
      </c>
      <c r="AI540" s="220"/>
      <c r="AJ540" s="221" t="str">
        <f t="shared" si="440"/>
        <v>2</v>
      </c>
      <c r="AK540" s="220" t="e">
        <f t="shared" si="390"/>
        <v>#VALUE!</v>
      </c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</row>
    <row r="541" spans="1:61" ht="16.5" customHeight="1" outlineLevel="2">
      <c r="A541" s="207">
        <f t="shared" si="432"/>
        <v>504</v>
      </c>
      <c r="B541" s="207">
        <v>26</v>
      </c>
      <c r="C541" s="245" t="s">
        <v>1877</v>
      </c>
      <c r="D541" s="209"/>
      <c r="E541" s="504" t="s">
        <v>661</v>
      </c>
      <c r="F541" s="213">
        <f t="shared" si="433"/>
        <v>0</v>
      </c>
      <c r="G541" s="207"/>
      <c r="H541" s="281" t="e">
        <f t="shared" si="434"/>
        <v>#VALUE!</v>
      </c>
      <c r="I541" s="212"/>
      <c r="J541" s="213"/>
      <c r="K541" s="213"/>
      <c r="L541" s="213"/>
      <c r="M541" s="213">
        <f t="shared" si="435"/>
        <v>0</v>
      </c>
      <c r="N541" s="207"/>
      <c r="O541" s="231"/>
      <c r="P541" s="230"/>
      <c r="Q541" s="230"/>
      <c r="R541" s="230"/>
      <c r="S541" s="213">
        <f t="shared" si="436"/>
        <v>0</v>
      </c>
      <c r="T541" s="216"/>
      <c r="U541" s="207"/>
      <c r="V541" s="216"/>
      <c r="W541" s="216"/>
      <c r="X541" s="216"/>
      <c r="Y541" s="213">
        <f t="shared" si="437"/>
        <v>0</v>
      </c>
      <c r="Z541" s="222" t="s">
        <v>1097</v>
      </c>
      <c r="AA541" s="228"/>
      <c r="AB541" s="218"/>
      <c r="AC541" s="220"/>
      <c r="AD541" s="220"/>
      <c r="AE541" s="220" t="str">
        <f t="shared" si="438"/>
        <v/>
      </c>
      <c r="AF541" s="229"/>
      <c r="AG541" s="220" t="e">
        <f t="shared" si="439"/>
        <v>#VALUE!</v>
      </c>
      <c r="AH541" s="220" t="str">
        <f t="shared" si="376"/>
        <v>2</v>
      </c>
      <c r="AI541" s="220"/>
      <c r="AJ541" s="221" t="str">
        <f t="shared" si="440"/>
        <v>2</v>
      </c>
      <c r="AK541" s="220" t="e">
        <f t="shared" si="390"/>
        <v>#VALUE!</v>
      </c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pans="1:61" ht="16.5" customHeight="1" outlineLevel="2">
      <c r="A542" s="207">
        <f t="shared" si="432"/>
        <v>505</v>
      </c>
      <c r="B542" s="207">
        <v>27</v>
      </c>
      <c r="C542" s="245" t="s">
        <v>1878</v>
      </c>
      <c r="D542" s="209">
        <v>21.27320218805</v>
      </c>
      <c r="E542" s="504" t="s">
        <v>104</v>
      </c>
      <c r="F542" s="213">
        <f t="shared" si="433"/>
        <v>117849</v>
      </c>
      <c r="G542" s="207"/>
      <c r="H542" s="281">
        <f t="shared" si="434"/>
        <v>2012</v>
      </c>
      <c r="I542" s="212" t="s">
        <v>315</v>
      </c>
      <c r="J542" s="213">
        <v>117849</v>
      </c>
      <c r="K542" s="213">
        <v>0</v>
      </c>
      <c r="L542" s="213">
        <v>117849</v>
      </c>
      <c r="M542" s="213">
        <f t="shared" si="435"/>
        <v>117849</v>
      </c>
      <c r="N542" s="207"/>
      <c r="O542" s="231"/>
      <c r="P542" s="230"/>
      <c r="Q542" s="230"/>
      <c r="R542" s="230"/>
      <c r="S542" s="213">
        <f t="shared" si="436"/>
        <v>0</v>
      </c>
      <c r="T542" s="216"/>
      <c r="U542" s="207"/>
      <c r="V542" s="216"/>
      <c r="W542" s="216"/>
      <c r="X542" s="216"/>
      <c r="Y542" s="213">
        <f t="shared" si="437"/>
        <v>0</v>
      </c>
      <c r="Z542" s="222" t="s">
        <v>1097</v>
      </c>
      <c r="AA542" s="228"/>
      <c r="AB542" s="218"/>
      <c r="AC542" s="220"/>
      <c r="AD542" s="220"/>
      <c r="AE542" s="220" t="str">
        <f t="shared" si="438"/>
        <v/>
      </c>
      <c r="AF542" s="229"/>
      <c r="AG542" s="220" t="str">
        <f t="shared" si="439"/>
        <v>2</v>
      </c>
      <c r="AH542" s="220" t="str">
        <f t="shared" si="376"/>
        <v>1</v>
      </c>
      <c r="AI542" s="220"/>
      <c r="AJ542" s="221" t="str">
        <f t="shared" si="440"/>
        <v>2</v>
      </c>
      <c r="AK542" s="220" t="str">
        <f t="shared" si="390"/>
        <v>2.1..2</v>
      </c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pans="1:61" ht="16.5" customHeight="1" outlineLevel="2">
      <c r="A543" s="207">
        <f t="shared" si="432"/>
        <v>506</v>
      </c>
      <c r="B543" s="207">
        <v>28</v>
      </c>
      <c r="C543" s="245" t="s">
        <v>1879</v>
      </c>
      <c r="D543" s="209"/>
      <c r="E543" s="504" t="s">
        <v>104</v>
      </c>
      <c r="F543" s="213">
        <f t="shared" si="433"/>
        <v>125</v>
      </c>
      <c r="G543" s="207"/>
      <c r="H543" s="281">
        <f t="shared" si="434"/>
        <v>2011</v>
      </c>
      <c r="I543" s="212" t="s">
        <v>932</v>
      </c>
      <c r="J543" s="213">
        <v>125</v>
      </c>
      <c r="K543" s="213">
        <v>0</v>
      </c>
      <c r="L543" s="213">
        <v>125</v>
      </c>
      <c r="M543" s="213">
        <f t="shared" si="435"/>
        <v>125</v>
      </c>
      <c r="N543" s="207"/>
      <c r="O543" s="231"/>
      <c r="P543" s="230"/>
      <c r="Q543" s="230"/>
      <c r="R543" s="230"/>
      <c r="S543" s="213">
        <f t="shared" si="436"/>
        <v>0</v>
      </c>
      <c r="T543" s="216"/>
      <c r="U543" s="207"/>
      <c r="V543" s="216"/>
      <c r="W543" s="216"/>
      <c r="X543" s="216"/>
      <c r="Y543" s="213">
        <f t="shared" si="437"/>
        <v>0</v>
      </c>
      <c r="Z543" s="222" t="s">
        <v>1097</v>
      </c>
      <c r="AA543" s="228"/>
      <c r="AB543" s="218"/>
      <c r="AC543" s="220"/>
      <c r="AD543" s="220"/>
      <c r="AE543" s="220" t="str">
        <f t="shared" si="438"/>
        <v/>
      </c>
      <c r="AF543" s="229"/>
      <c r="AG543" s="220" t="str">
        <f t="shared" si="439"/>
        <v>2</v>
      </c>
      <c r="AH543" s="220" t="str">
        <f t="shared" si="376"/>
        <v>1</v>
      </c>
      <c r="AI543" s="220"/>
      <c r="AJ543" s="221" t="str">
        <f t="shared" si="440"/>
        <v>2</v>
      </c>
      <c r="AK543" s="220" t="str">
        <f t="shared" si="390"/>
        <v>2.1..2</v>
      </c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pans="1:61" ht="16.5" customHeight="1" outlineLevel="2">
      <c r="A544" s="207">
        <f t="shared" si="432"/>
        <v>507</v>
      </c>
      <c r="B544" s="207">
        <v>29</v>
      </c>
      <c r="C544" s="245" t="s">
        <v>1880</v>
      </c>
      <c r="D544" s="209"/>
      <c r="E544" s="504" t="s">
        <v>661</v>
      </c>
      <c r="F544" s="213">
        <f t="shared" si="433"/>
        <v>0</v>
      </c>
      <c r="G544" s="207"/>
      <c r="H544" s="281" t="e">
        <f t="shared" si="434"/>
        <v>#VALUE!</v>
      </c>
      <c r="I544" s="212"/>
      <c r="J544" s="213"/>
      <c r="K544" s="213"/>
      <c r="L544" s="213"/>
      <c r="M544" s="213">
        <f t="shared" si="435"/>
        <v>0</v>
      </c>
      <c r="N544" s="207"/>
      <c r="O544" s="231"/>
      <c r="P544" s="230"/>
      <c r="Q544" s="230"/>
      <c r="R544" s="230"/>
      <c r="S544" s="213">
        <f t="shared" si="436"/>
        <v>0</v>
      </c>
      <c r="T544" s="216"/>
      <c r="U544" s="207"/>
      <c r="V544" s="216"/>
      <c r="W544" s="216"/>
      <c r="X544" s="216"/>
      <c r="Y544" s="213">
        <f t="shared" si="437"/>
        <v>0</v>
      </c>
      <c r="Z544" s="222" t="s">
        <v>1097</v>
      </c>
      <c r="AA544" s="228"/>
      <c r="AB544" s="218"/>
      <c r="AC544" s="220"/>
      <c r="AD544" s="220"/>
      <c r="AE544" s="220" t="str">
        <f t="shared" si="438"/>
        <v/>
      </c>
      <c r="AF544" s="229"/>
      <c r="AG544" s="220" t="e">
        <f t="shared" si="439"/>
        <v>#VALUE!</v>
      </c>
      <c r="AH544" s="220" t="str">
        <f t="shared" si="376"/>
        <v>2</v>
      </c>
      <c r="AI544" s="220"/>
      <c r="AJ544" s="221" t="str">
        <f t="shared" si="440"/>
        <v>2</v>
      </c>
      <c r="AK544" s="220" t="e">
        <f t="shared" si="390"/>
        <v>#VALUE!</v>
      </c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pans="1:61" ht="16.5" customHeight="1" outlineLevel="1">
      <c r="A545" s="235"/>
      <c r="B545" s="235"/>
      <c r="C545" s="315" t="s">
        <v>1881</v>
      </c>
      <c r="D545" s="316">
        <f>SUM(D516:D544)</f>
        <v>36194.782321780382</v>
      </c>
      <c r="E545" s="238">
        <f>COUNTIF(E516:E544,"D") + COUNTIF(E516:E544,"DS")</f>
        <v>6</v>
      </c>
      <c r="F545" s="254">
        <f>SUBTOTAL(9,F516:F544)</f>
        <v>206748.39</v>
      </c>
      <c r="G545" s="235">
        <f>COUNTIF(G6:G544,"V")</f>
        <v>86</v>
      </c>
      <c r="H545" s="317"/>
      <c r="I545" s="318"/>
      <c r="J545" s="319">
        <f t="shared" ref="J545:M545" si="441">SUBTOTAL(9,J520:J543)</f>
        <v>152474</v>
      </c>
      <c r="K545" s="319">
        <f t="shared" si="441"/>
        <v>0</v>
      </c>
      <c r="L545" s="319">
        <f t="shared" si="441"/>
        <v>117974</v>
      </c>
      <c r="M545" s="319">
        <f t="shared" si="441"/>
        <v>152474</v>
      </c>
      <c r="N545" s="235">
        <f>COUNTIF(N6:N544,"V")</f>
        <v>44</v>
      </c>
      <c r="O545" s="320"/>
      <c r="P545" s="321">
        <v>23842</v>
      </c>
      <c r="Q545" s="321">
        <v>0</v>
      </c>
      <c r="R545" s="321">
        <v>23842</v>
      </c>
      <c r="S545" s="319">
        <f>SUBTOTAL(9,S520:S543)</f>
        <v>54274.39</v>
      </c>
      <c r="T545" s="322">
        <f>COUNTIF(T6:T544,"V")</f>
        <v>104</v>
      </c>
      <c r="U545" s="235">
        <v>1</v>
      </c>
      <c r="V545" s="322">
        <v>23842</v>
      </c>
      <c r="W545" s="322">
        <v>0</v>
      </c>
      <c r="X545" s="322">
        <v>23842</v>
      </c>
      <c r="Y545" s="319">
        <f>SUBTOTAL(9,Y520:Y543)</f>
        <v>23842</v>
      </c>
      <c r="Z545" s="323" t="s">
        <v>1138</v>
      </c>
      <c r="AA545" s="228"/>
      <c r="AB545" s="218"/>
      <c r="AC545" s="220"/>
      <c r="AD545" s="220"/>
      <c r="AE545" s="244">
        <f>COUNTIF(AE516:AE544,"V") + COUNTIF(AE516:AE544,"VV") + COUNTIF(AE516:AE544,"VVV")</f>
        <v>2</v>
      </c>
      <c r="AF545" s="229"/>
      <c r="AG545" s="220"/>
      <c r="AH545" s="220"/>
      <c r="AI545" s="220"/>
      <c r="AJ545" s="221"/>
      <c r="AK545" s="220" t="str">
        <f t="shared" si="390"/>
        <v>...</v>
      </c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pans="1:61" ht="16.5" customHeight="1">
      <c r="A546" s="324"/>
      <c r="B546" s="324"/>
      <c r="C546" s="526"/>
      <c r="D546" s="527"/>
      <c r="E546" s="324"/>
      <c r="F546" s="324"/>
      <c r="G546" s="324"/>
      <c r="H546" s="325"/>
      <c r="I546" s="326"/>
      <c r="J546" s="327">
        <f t="shared" ref="J546:L546" si="442">SUBTOTAL(9,J3:J543)</f>
        <v>6028112.3320000004</v>
      </c>
      <c r="K546" s="327">
        <f t="shared" si="442"/>
        <v>15621.64</v>
      </c>
      <c r="L546" s="327">
        <f t="shared" si="442"/>
        <v>7348381.2319999998</v>
      </c>
      <c r="M546" s="327"/>
      <c r="N546" s="324"/>
      <c r="O546" s="328"/>
      <c r="P546" s="329">
        <f t="shared" ref="P546:R546" si="443">SUBTOTAL(9,P3:P543)</f>
        <v>3854034.4640000006</v>
      </c>
      <c r="Q546" s="329">
        <f t="shared" si="443"/>
        <v>905312.96000000008</v>
      </c>
      <c r="R546" s="329">
        <f t="shared" si="443"/>
        <v>3194141.074</v>
      </c>
      <c r="S546" s="329"/>
      <c r="T546" s="330"/>
      <c r="U546" s="324"/>
      <c r="V546" s="330">
        <f t="shared" ref="V546:X546" si="444">SUBTOTAL(9,V3:V543)</f>
        <v>4744893.3550000023</v>
      </c>
      <c r="W546" s="330">
        <f t="shared" si="444"/>
        <v>758685.84200000018</v>
      </c>
      <c r="X546" s="330">
        <f t="shared" si="444"/>
        <v>2535778.4170000008</v>
      </c>
      <c r="Y546" s="330"/>
      <c r="Z546" s="324"/>
      <c r="AA546" s="189"/>
      <c r="AB546" s="190"/>
      <c r="AC546" s="192"/>
      <c r="AD546" s="192"/>
      <c r="AE546" s="192"/>
      <c r="AF546" s="229"/>
      <c r="AG546" s="192"/>
      <c r="AH546" s="192"/>
      <c r="AI546" s="192"/>
      <c r="AJ546" s="193"/>
      <c r="AK546" s="192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</row>
    <row r="547" spans="1:61" ht="16.5" customHeight="1">
      <c r="A547" s="331"/>
      <c r="B547" s="331"/>
      <c r="C547" s="331"/>
      <c r="D547" s="332"/>
      <c r="E547" s="324"/>
      <c r="F547" s="331"/>
      <c r="G547" s="331"/>
      <c r="H547" s="324"/>
      <c r="I547" s="328"/>
      <c r="J547" s="329"/>
      <c r="K547" s="329"/>
      <c r="L547" s="329"/>
      <c r="M547" s="329"/>
      <c r="N547" s="331">
        <f>N545+G545</f>
        <v>130</v>
      </c>
      <c r="O547" s="328"/>
      <c r="P547" s="329"/>
      <c r="Q547" s="329"/>
      <c r="R547" s="329"/>
      <c r="S547" s="329"/>
      <c r="T547" s="330"/>
      <c r="U547" s="324"/>
      <c r="V547" s="330"/>
      <c r="W547" s="330"/>
      <c r="X547" s="330"/>
      <c r="Y547" s="330"/>
      <c r="Z547" s="324"/>
      <c r="AA547" s="189"/>
      <c r="AB547" s="190"/>
      <c r="AC547" s="192"/>
      <c r="AD547" s="192"/>
      <c r="AE547" s="192"/>
      <c r="AF547" s="229"/>
      <c r="AG547" s="192"/>
      <c r="AH547" s="192"/>
      <c r="AI547" s="192"/>
      <c r="AJ547" s="193"/>
      <c r="AK547" s="192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</row>
    <row r="548" spans="1:61" ht="16.5" customHeight="1">
      <c r="A548" s="331"/>
      <c r="B548" s="331"/>
      <c r="C548" s="331"/>
      <c r="D548" s="332"/>
      <c r="E548" s="324"/>
      <c r="F548" s="331"/>
      <c r="G548" s="331"/>
      <c r="H548" s="324"/>
      <c r="I548" s="328"/>
      <c r="J548" s="329"/>
      <c r="K548" s="329"/>
      <c r="L548" s="329"/>
      <c r="M548" s="329"/>
      <c r="N548" s="332">
        <f>N547+T545</f>
        <v>234</v>
      </c>
      <c r="O548" s="328"/>
      <c r="P548" s="329"/>
      <c r="Q548" s="329"/>
      <c r="R548" s="329"/>
      <c r="S548" s="329"/>
      <c r="T548" s="330"/>
      <c r="U548" s="324"/>
      <c r="V548" s="330"/>
      <c r="W548" s="330"/>
      <c r="X548" s="330"/>
      <c r="Y548" s="330"/>
      <c r="Z548" s="324"/>
      <c r="AA548" s="189"/>
      <c r="AB548" s="190"/>
      <c r="AC548" s="192"/>
      <c r="AD548" s="192"/>
      <c r="AE548" s="192"/>
      <c r="AF548" s="229"/>
      <c r="AG548" s="192"/>
      <c r="AH548" s="192"/>
      <c r="AI548" s="192"/>
      <c r="AJ548" s="193"/>
      <c r="AK548" s="192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</row>
    <row r="549" spans="1:61" ht="16.5" customHeight="1">
      <c r="A549" s="331"/>
      <c r="B549" s="331"/>
      <c r="C549" s="331"/>
      <c r="D549" s="332"/>
      <c r="E549" s="324"/>
      <c r="F549" s="331"/>
      <c r="G549" s="331"/>
      <c r="H549" s="324"/>
      <c r="I549" s="328"/>
      <c r="J549" s="329"/>
      <c r="K549" s="329"/>
      <c r="L549" s="329"/>
      <c r="M549" s="329"/>
      <c r="N549" s="331"/>
      <c r="O549" s="328"/>
      <c r="P549" s="329"/>
      <c r="Q549" s="329"/>
      <c r="R549" s="329"/>
      <c r="S549" s="329"/>
      <c r="T549" s="330"/>
      <c r="U549" s="324"/>
      <c r="V549" s="330"/>
      <c r="W549" s="330"/>
      <c r="X549" s="330"/>
      <c r="Y549" s="330"/>
      <c r="Z549" s="324"/>
      <c r="AA549" s="189"/>
      <c r="AB549" s="190"/>
      <c r="AC549" s="191"/>
      <c r="AD549" s="192"/>
      <c r="AE549" s="191"/>
      <c r="AF549" s="1"/>
      <c r="AG549" s="192"/>
      <c r="AH549" s="191"/>
      <c r="AI549" s="192"/>
      <c r="AJ549" s="193"/>
      <c r="AK549" s="192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</row>
    <row r="550" spans="1:61" ht="16.5" customHeight="1">
      <c r="A550" s="331"/>
      <c r="B550" s="331"/>
      <c r="C550" s="331"/>
      <c r="D550" s="332"/>
      <c r="E550" s="324"/>
      <c r="F550" s="331"/>
      <c r="G550" s="331"/>
      <c r="H550" s="324"/>
      <c r="I550" s="328"/>
      <c r="J550" s="329"/>
      <c r="K550" s="329"/>
      <c r="L550" s="329"/>
      <c r="M550" s="329"/>
      <c r="N550" s="331"/>
      <c r="O550" s="328"/>
      <c r="P550" s="329"/>
      <c r="Q550" s="329"/>
      <c r="R550" s="329"/>
      <c r="S550" s="329"/>
      <c r="T550" s="330"/>
      <c r="U550" s="324"/>
      <c r="V550" s="330"/>
      <c r="W550" s="330"/>
      <c r="X550" s="330"/>
      <c r="Y550" s="330"/>
      <c r="Z550" s="324"/>
      <c r="AA550" s="189"/>
      <c r="AB550" s="190"/>
      <c r="AC550" s="191"/>
      <c r="AD550" s="192"/>
      <c r="AE550" s="191"/>
      <c r="AF550" s="1"/>
      <c r="AG550" s="192"/>
      <c r="AH550" s="191"/>
      <c r="AI550" s="192"/>
      <c r="AJ550" s="193"/>
      <c r="AK550" s="192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</row>
    <row r="551" spans="1:61" ht="16.5" customHeight="1">
      <c r="A551" s="331"/>
      <c r="B551" s="331"/>
      <c r="C551" s="331"/>
      <c r="D551" s="332"/>
      <c r="E551" s="324"/>
      <c r="F551" s="331"/>
      <c r="G551" s="331"/>
      <c r="H551" s="324"/>
      <c r="I551" s="328"/>
      <c r="J551" s="329"/>
      <c r="K551" s="329"/>
      <c r="L551" s="329"/>
      <c r="M551" s="329"/>
      <c r="N551" s="331"/>
      <c r="O551" s="328"/>
      <c r="P551" s="329"/>
      <c r="Q551" s="329"/>
      <c r="R551" s="329"/>
      <c r="S551" s="329"/>
      <c r="T551" s="330"/>
      <c r="U551" s="324"/>
      <c r="V551" s="330"/>
      <c r="W551" s="330"/>
      <c r="X551" s="330"/>
      <c r="Y551" s="330"/>
      <c r="Z551" s="324"/>
      <c r="AA551" s="189"/>
      <c r="AB551" s="190"/>
      <c r="AC551" s="191"/>
      <c r="AD551" s="192"/>
      <c r="AE551" s="191"/>
      <c r="AF551" s="1"/>
      <c r="AG551" s="192"/>
      <c r="AH551" s="191"/>
      <c r="AI551" s="192"/>
      <c r="AJ551" s="193"/>
      <c r="AK551" s="192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</row>
  </sheetData>
  <mergeCells count="26">
    <mergeCell ref="P473:R473"/>
    <mergeCell ref="P488:R488"/>
    <mergeCell ref="P3:R3"/>
    <mergeCell ref="S3:S4"/>
    <mergeCell ref="P30:R30"/>
    <mergeCell ref="P49:R49"/>
    <mergeCell ref="P107:R107"/>
    <mergeCell ref="P159:R159"/>
    <mergeCell ref="P342:R342"/>
    <mergeCell ref="AA387:AA391"/>
    <mergeCell ref="AF387:AF391"/>
    <mergeCell ref="F2:F4"/>
    <mergeCell ref="G2:M2"/>
    <mergeCell ref="N2:S2"/>
    <mergeCell ref="T2:Y2"/>
    <mergeCell ref="AB2:AB4"/>
    <mergeCell ref="AE2:AE4"/>
    <mergeCell ref="AH2:AH4"/>
    <mergeCell ref="AI2:AI4"/>
    <mergeCell ref="AJ2:AJ4"/>
    <mergeCell ref="AK2:AK4"/>
    <mergeCell ref="J3:L3"/>
    <mergeCell ref="M3:M4"/>
    <mergeCell ref="V3:X3"/>
    <mergeCell ref="Y3:Y4"/>
    <mergeCell ref="AG2:AG4"/>
  </mergeCells>
  <hyperlinks>
    <hyperlink ref="I6" r:id="rId1" xr:uid="{00000000-0004-0000-0500-000000000000}"/>
    <hyperlink ref="U6" r:id="rId2" xr:uid="{00000000-0004-0000-0500-000001000000}"/>
    <hyperlink ref="I7" r:id="rId3" xr:uid="{00000000-0004-0000-0500-000002000000}"/>
    <hyperlink ref="U7" r:id="rId4" xr:uid="{00000000-0004-0000-0500-000003000000}"/>
    <hyperlink ref="I8" r:id="rId5" xr:uid="{00000000-0004-0000-0500-000004000000}"/>
    <hyperlink ref="O8" r:id="rId6" xr:uid="{00000000-0004-0000-0500-000005000000}"/>
    <hyperlink ref="U8" r:id="rId7" xr:uid="{00000000-0004-0000-0500-000006000000}"/>
    <hyperlink ref="I9" r:id="rId8" xr:uid="{00000000-0004-0000-0500-000007000000}"/>
    <hyperlink ref="O9" r:id="rId9" xr:uid="{00000000-0004-0000-0500-000008000000}"/>
    <hyperlink ref="I10" r:id="rId10" xr:uid="{00000000-0004-0000-0500-000009000000}"/>
    <hyperlink ref="U10" r:id="rId11" xr:uid="{00000000-0004-0000-0500-00000A000000}"/>
    <hyperlink ref="I11" r:id="rId12" xr:uid="{00000000-0004-0000-0500-00000B000000}"/>
    <hyperlink ref="O11" r:id="rId13" xr:uid="{00000000-0004-0000-0500-00000C000000}"/>
    <hyperlink ref="I12" r:id="rId14" xr:uid="{00000000-0004-0000-0500-00000D000000}"/>
    <hyperlink ref="U12" r:id="rId15" xr:uid="{00000000-0004-0000-0500-00000E000000}"/>
    <hyperlink ref="I13" r:id="rId16" xr:uid="{00000000-0004-0000-0500-00000F000000}"/>
    <hyperlink ref="I14" r:id="rId17" xr:uid="{00000000-0004-0000-0500-000010000000}"/>
    <hyperlink ref="I15" r:id="rId18" xr:uid="{00000000-0004-0000-0500-000011000000}"/>
    <hyperlink ref="U15" r:id="rId19" xr:uid="{00000000-0004-0000-0500-000012000000}"/>
    <hyperlink ref="I16" r:id="rId20" xr:uid="{00000000-0004-0000-0500-000013000000}"/>
    <hyperlink ref="U16" r:id="rId21" xr:uid="{00000000-0004-0000-0500-000014000000}"/>
    <hyperlink ref="I17" r:id="rId22" xr:uid="{00000000-0004-0000-0500-000015000000}"/>
    <hyperlink ref="I18" r:id="rId23" xr:uid="{00000000-0004-0000-0500-000016000000}"/>
    <hyperlink ref="U18" r:id="rId24" xr:uid="{00000000-0004-0000-0500-000017000000}"/>
    <hyperlink ref="I19" r:id="rId25" xr:uid="{00000000-0004-0000-0500-000018000000}"/>
    <hyperlink ref="U19" r:id="rId26" xr:uid="{00000000-0004-0000-0500-000019000000}"/>
    <hyperlink ref="I20" r:id="rId27" xr:uid="{00000000-0004-0000-0500-00001A000000}"/>
    <hyperlink ref="I21" r:id="rId28" xr:uid="{00000000-0004-0000-0500-00001B000000}"/>
    <hyperlink ref="O21" r:id="rId29" xr:uid="{00000000-0004-0000-0500-00001C000000}"/>
    <hyperlink ref="I22" r:id="rId30" xr:uid="{00000000-0004-0000-0500-00001D000000}"/>
    <hyperlink ref="O22" r:id="rId31" xr:uid="{00000000-0004-0000-0500-00001E000000}"/>
    <hyperlink ref="I23" r:id="rId32" xr:uid="{00000000-0004-0000-0500-00001F000000}"/>
    <hyperlink ref="I24" r:id="rId33" xr:uid="{00000000-0004-0000-0500-000020000000}"/>
    <hyperlink ref="I25" r:id="rId34" xr:uid="{00000000-0004-0000-0500-000021000000}"/>
    <hyperlink ref="I26" r:id="rId35" xr:uid="{00000000-0004-0000-0500-000022000000}"/>
    <hyperlink ref="U26" r:id="rId36" xr:uid="{00000000-0004-0000-0500-000023000000}"/>
    <hyperlink ref="I27" r:id="rId37" xr:uid="{00000000-0004-0000-0500-000024000000}"/>
    <hyperlink ref="O27" r:id="rId38" xr:uid="{00000000-0004-0000-0500-000025000000}"/>
    <hyperlink ref="I28" r:id="rId39" xr:uid="{00000000-0004-0000-0500-000026000000}"/>
    <hyperlink ref="U28" r:id="rId40" xr:uid="{00000000-0004-0000-0500-000027000000}"/>
    <hyperlink ref="I30" r:id="rId41" xr:uid="{00000000-0004-0000-0500-000028000000}"/>
    <hyperlink ref="I31" r:id="rId42" xr:uid="{00000000-0004-0000-0500-000029000000}"/>
    <hyperlink ref="I32" r:id="rId43" xr:uid="{00000000-0004-0000-0500-00002A000000}"/>
    <hyperlink ref="I33" r:id="rId44" xr:uid="{00000000-0004-0000-0500-00002B000000}"/>
    <hyperlink ref="I34" r:id="rId45" xr:uid="{00000000-0004-0000-0500-00002C000000}"/>
    <hyperlink ref="I35" r:id="rId46" xr:uid="{00000000-0004-0000-0500-00002D000000}"/>
    <hyperlink ref="I36" r:id="rId47" xr:uid="{00000000-0004-0000-0500-00002E000000}"/>
    <hyperlink ref="I37" r:id="rId48" xr:uid="{00000000-0004-0000-0500-00002F000000}"/>
    <hyperlink ref="I38" r:id="rId49" xr:uid="{00000000-0004-0000-0500-000030000000}"/>
    <hyperlink ref="I39" r:id="rId50" xr:uid="{00000000-0004-0000-0500-000031000000}"/>
    <hyperlink ref="I40" r:id="rId51" xr:uid="{00000000-0004-0000-0500-000032000000}"/>
    <hyperlink ref="I41" r:id="rId52" xr:uid="{00000000-0004-0000-0500-000033000000}"/>
    <hyperlink ref="I42" r:id="rId53" xr:uid="{00000000-0004-0000-0500-000034000000}"/>
    <hyperlink ref="I43" r:id="rId54" xr:uid="{00000000-0004-0000-0500-000035000000}"/>
    <hyperlink ref="I45" r:id="rId55" xr:uid="{00000000-0004-0000-0500-000036000000}"/>
    <hyperlink ref="I46" r:id="rId56" xr:uid="{00000000-0004-0000-0500-000037000000}"/>
    <hyperlink ref="I47" r:id="rId57" xr:uid="{00000000-0004-0000-0500-000038000000}"/>
    <hyperlink ref="I49" r:id="rId58" xr:uid="{00000000-0004-0000-0500-000039000000}"/>
    <hyperlink ref="O50" r:id="rId59" xr:uid="{00000000-0004-0000-0500-00003A000000}"/>
    <hyperlink ref="I54" r:id="rId60" xr:uid="{00000000-0004-0000-0500-00003B000000}"/>
    <hyperlink ref="I55" r:id="rId61" xr:uid="{00000000-0004-0000-0500-00003C000000}"/>
    <hyperlink ref="I56" r:id="rId62" xr:uid="{00000000-0004-0000-0500-00003D000000}"/>
    <hyperlink ref="I57" r:id="rId63" xr:uid="{00000000-0004-0000-0500-00003E000000}"/>
    <hyperlink ref="I62" r:id="rId64" xr:uid="{00000000-0004-0000-0500-00003F000000}"/>
    <hyperlink ref="I64" r:id="rId65" xr:uid="{00000000-0004-0000-0500-000040000000}"/>
    <hyperlink ref="I65" r:id="rId66" xr:uid="{00000000-0004-0000-0500-000041000000}"/>
    <hyperlink ref="I66" r:id="rId67" xr:uid="{00000000-0004-0000-0500-000042000000}"/>
    <hyperlink ref="I67" r:id="rId68" xr:uid="{00000000-0004-0000-0500-000043000000}"/>
    <hyperlink ref="I68" r:id="rId69" xr:uid="{00000000-0004-0000-0500-000044000000}"/>
    <hyperlink ref="I69" r:id="rId70" xr:uid="{00000000-0004-0000-0500-000045000000}"/>
    <hyperlink ref="O69" r:id="rId71" xr:uid="{00000000-0004-0000-0500-000046000000}"/>
    <hyperlink ref="I70" r:id="rId72" xr:uid="{00000000-0004-0000-0500-000047000000}"/>
    <hyperlink ref="I71" r:id="rId73" xr:uid="{00000000-0004-0000-0500-000048000000}"/>
    <hyperlink ref="O71" r:id="rId74" xr:uid="{00000000-0004-0000-0500-000049000000}"/>
    <hyperlink ref="I73" r:id="rId75" xr:uid="{00000000-0004-0000-0500-00004A000000}"/>
    <hyperlink ref="I74" r:id="rId76" xr:uid="{00000000-0004-0000-0500-00004B000000}"/>
    <hyperlink ref="I75" r:id="rId77" xr:uid="{00000000-0004-0000-0500-00004C000000}"/>
    <hyperlink ref="I79" r:id="rId78" xr:uid="{00000000-0004-0000-0500-00004D000000}"/>
    <hyperlink ref="I84" r:id="rId79" xr:uid="{00000000-0004-0000-0500-00004E000000}"/>
    <hyperlink ref="O85" r:id="rId80" xr:uid="{00000000-0004-0000-0500-00004F000000}"/>
    <hyperlink ref="I87" r:id="rId81" xr:uid="{00000000-0004-0000-0500-000050000000}"/>
    <hyperlink ref="I88" r:id="rId82" xr:uid="{00000000-0004-0000-0500-000051000000}"/>
    <hyperlink ref="I89" r:id="rId83" xr:uid="{00000000-0004-0000-0500-000052000000}"/>
    <hyperlink ref="I90" r:id="rId84" xr:uid="{00000000-0004-0000-0500-000053000000}"/>
    <hyperlink ref="I92" r:id="rId85" xr:uid="{00000000-0004-0000-0500-000054000000}"/>
    <hyperlink ref="O93" r:id="rId86" xr:uid="{00000000-0004-0000-0500-000055000000}"/>
    <hyperlink ref="I94" r:id="rId87" xr:uid="{00000000-0004-0000-0500-000056000000}"/>
    <hyperlink ref="O94" r:id="rId88" xr:uid="{00000000-0004-0000-0500-000057000000}"/>
    <hyperlink ref="I95" r:id="rId89" xr:uid="{00000000-0004-0000-0500-000058000000}"/>
    <hyperlink ref="O95" r:id="rId90" xr:uid="{00000000-0004-0000-0500-000059000000}"/>
    <hyperlink ref="U120" r:id="rId91" xr:uid="{00000000-0004-0000-0500-00005A000000}"/>
    <hyperlink ref="U143" r:id="rId92" xr:uid="{00000000-0004-0000-0500-00005B000000}"/>
    <hyperlink ref="U144" r:id="rId93" xr:uid="{00000000-0004-0000-0500-00005C000000}"/>
    <hyperlink ref="U145" r:id="rId94" xr:uid="{00000000-0004-0000-0500-00005D000000}"/>
    <hyperlink ref="U147" r:id="rId95" xr:uid="{00000000-0004-0000-0500-00005E000000}"/>
    <hyperlink ref="U149" r:id="rId96" xr:uid="{00000000-0004-0000-0500-00005F000000}"/>
    <hyperlink ref="U151" r:id="rId97" xr:uid="{00000000-0004-0000-0500-000060000000}"/>
    <hyperlink ref="I170" r:id="rId98" xr:uid="{00000000-0004-0000-0500-000061000000}"/>
    <hyperlink ref="O170" r:id="rId99" xr:uid="{00000000-0004-0000-0500-000062000000}"/>
    <hyperlink ref="I171" r:id="rId100" xr:uid="{00000000-0004-0000-0500-000063000000}"/>
    <hyperlink ref="O171" r:id="rId101" xr:uid="{00000000-0004-0000-0500-000064000000}"/>
    <hyperlink ref="I172" r:id="rId102" xr:uid="{00000000-0004-0000-0500-000065000000}"/>
    <hyperlink ref="I173" r:id="rId103" xr:uid="{00000000-0004-0000-0500-000066000000}"/>
    <hyperlink ref="I174" r:id="rId104" xr:uid="{00000000-0004-0000-0500-000067000000}"/>
    <hyperlink ref="O174" r:id="rId105" xr:uid="{00000000-0004-0000-0500-000068000000}"/>
    <hyperlink ref="I175" r:id="rId106" xr:uid="{00000000-0004-0000-0500-000069000000}"/>
    <hyperlink ref="O175" r:id="rId107" xr:uid="{00000000-0004-0000-0500-00006A000000}"/>
    <hyperlink ref="I176" r:id="rId108" xr:uid="{00000000-0004-0000-0500-00006B000000}"/>
    <hyperlink ref="U176" r:id="rId109" xr:uid="{00000000-0004-0000-0500-00006C000000}"/>
    <hyperlink ref="G177" r:id="rId110" xr:uid="{00000000-0004-0000-0500-00006D000000}"/>
    <hyperlink ref="I177" r:id="rId111" xr:uid="{00000000-0004-0000-0500-00006E000000}"/>
    <hyperlink ref="O177" r:id="rId112" xr:uid="{00000000-0004-0000-0500-00006F000000}"/>
    <hyperlink ref="I178" r:id="rId113" xr:uid="{00000000-0004-0000-0500-000070000000}"/>
    <hyperlink ref="U178" r:id="rId114" xr:uid="{00000000-0004-0000-0500-000071000000}"/>
    <hyperlink ref="I179" r:id="rId115" xr:uid="{00000000-0004-0000-0500-000072000000}"/>
    <hyperlink ref="U179" r:id="rId116" xr:uid="{00000000-0004-0000-0500-000073000000}"/>
    <hyperlink ref="I180" r:id="rId117" xr:uid="{00000000-0004-0000-0500-000074000000}"/>
    <hyperlink ref="I181" r:id="rId118" xr:uid="{00000000-0004-0000-0500-000075000000}"/>
    <hyperlink ref="I182" r:id="rId119" xr:uid="{00000000-0004-0000-0500-000076000000}"/>
    <hyperlink ref="I183" r:id="rId120" xr:uid="{00000000-0004-0000-0500-000077000000}"/>
    <hyperlink ref="U196" r:id="rId121" xr:uid="{00000000-0004-0000-0500-000078000000}"/>
    <hyperlink ref="U198" r:id="rId122" xr:uid="{00000000-0004-0000-0500-000079000000}"/>
    <hyperlink ref="U199" r:id="rId123" xr:uid="{00000000-0004-0000-0500-00007A000000}"/>
    <hyperlink ref="U204" r:id="rId124" xr:uid="{00000000-0004-0000-0500-00007B000000}"/>
    <hyperlink ref="U205" r:id="rId125" xr:uid="{00000000-0004-0000-0500-00007C000000}"/>
    <hyperlink ref="U206" r:id="rId126" xr:uid="{00000000-0004-0000-0500-00007D000000}"/>
    <hyperlink ref="O207" r:id="rId127" xr:uid="{00000000-0004-0000-0500-00007E000000}"/>
    <hyperlink ref="U209" r:id="rId128" xr:uid="{00000000-0004-0000-0500-00007F000000}"/>
    <hyperlink ref="U219" r:id="rId129" xr:uid="{00000000-0004-0000-0500-000080000000}"/>
    <hyperlink ref="U222" r:id="rId130" xr:uid="{00000000-0004-0000-0500-000081000000}"/>
    <hyperlink ref="U234" r:id="rId131" xr:uid="{00000000-0004-0000-0500-000082000000}"/>
    <hyperlink ref="U235" r:id="rId132" xr:uid="{00000000-0004-0000-0500-000083000000}"/>
    <hyperlink ref="U237" r:id="rId133" xr:uid="{00000000-0004-0000-0500-000084000000}"/>
    <hyperlink ref="I238" r:id="rId134" xr:uid="{00000000-0004-0000-0500-000085000000}"/>
    <hyperlink ref="O238" r:id="rId135" xr:uid="{00000000-0004-0000-0500-000086000000}"/>
    <hyperlink ref="U240" r:id="rId136" xr:uid="{00000000-0004-0000-0500-000087000000}"/>
    <hyperlink ref="U242" r:id="rId137" xr:uid="{00000000-0004-0000-0500-000088000000}"/>
    <hyperlink ref="U246" r:id="rId138" xr:uid="{00000000-0004-0000-0500-000089000000}"/>
    <hyperlink ref="G247" r:id="rId139" xr:uid="{00000000-0004-0000-0500-00008A000000}"/>
    <hyperlink ref="I247" r:id="rId140" xr:uid="{00000000-0004-0000-0500-00008B000000}"/>
    <hyperlink ref="U268" r:id="rId141" xr:uid="{00000000-0004-0000-0500-00008C000000}"/>
    <hyperlink ref="U271" r:id="rId142" xr:uid="{00000000-0004-0000-0500-00008D000000}"/>
    <hyperlink ref="U273" r:id="rId143" xr:uid="{00000000-0004-0000-0500-00008E000000}"/>
    <hyperlink ref="U274" r:id="rId144" xr:uid="{00000000-0004-0000-0500-00008F000000}"/>
    <hyperlink ref="U277" r:id="rId145" xr:uid="{00000000-0004-0000-0500-000090000000}"/>
    <hyperlink ref="U288" r:id="rId146" xr:uid="{00000000-0004-0000-0500-000091000000}"/>
    <hyperlink ref="U291" r:id="rId147" xr:uid="{00000000-0004-0000-0500-000092000000}"/>
    <hyperlink ref="U296" r:id="rId148" xr:uid="{00000000-0004-0000-0500-000093000000}"/>
    <hyperlink ref="U303" r:id="rId149" xr:uid="{00000000-0004-0000-0500-000094000000}"/>
    <hyperlink ref="U304" r:id="rId150" xr:uid="{00000000-0004-0000-0500-000095000000}"/>
    <hyperlink ref="U306" r:id="rId151" xr:uid="{00000000-0004-0000-0500-000096000000}"/>
    <hyperlink ref="U317" r:id="rId152" xr:uid="{00000000-0004-0000-0500-000097000000}"/>
    <hyperlink ref="U318" r:id="rId153" xr:uid="{00000000-0004-0000-0500-000098000000}"/>
    <hyperlink ref="U319" r:id="rId154" xr:uid="{00000000-0004-0000-0500-000099000000}"/>
    <hyperlink ref="U322" r:id="rId155" xr:uid="{00000000-0004-0000-0500-00009A000000}"/>
    <hyperlink ref="U328" r:id="rId156" xr:uid="{00000000-0004-0000-0500-00009B000000}"/>
    <hyperlink ref="U332" r:id="rId157" xr:uid="{00000000-0004-0000-0500-00009C000000}"/>
    <hyperlink ref="U334" r:id="rId158" xr:uid="{00000000-0004-0000-0500-00009D000000}"/>
    <hyperlink ref="U338" r:id="rId159" xr:uid="{00000000-0004-0000-0500-00009E000000}"/>
    <hyperlink ref="U342" r:id="rId160" xr:uid="{00000000-0004-0000-0500-00009F000000}"/>
    <hyperlink ref="U347" r:id="rId161" xr:uid="{00000000-0004-0000-0500-0000A0000000}"/>
    <hyperlink ref="I349" r:id="rId162" xr:uid="{00000000-0004-0000-0500-0000A1000000}"/>
    <hyperlink ref="U351" r:id="rId163" xr:uid="{00000000-0004-0000-0500-0000A2000000}"/>
    <hyperlink ref="I352" r:id="rId164" xr:uid="{00000000-0004-0000-0500-0000A3000000}"/>
    <hyperlink ref="U352" r:id="rId165" xr:uid="{00000000-0004-0000-0500-0000A4000000}"/>
    <hyperlink ref="O358" r:id="rId166" xr:uid="{00000000-0004-0000-0500-0000A5000000}"/>
    <hyperlink ref="U358" r:id="rId167" xr:uid="{00000000-0004-0000-0500-0000A6000000}"/>
    <hyperlink ref="U362" r:id="rId168" xr:uid="{00000000-0004-0000-0500-0000A7000000}"/>
    <hyperlink ref="U368" r:id="rId169" xr:uid="{00000000-0004-0000-0500-0000A8000000}"/>
    <hyperlink ref="I387" r:id="rId170" xr:uid="{00000000-0004-0000-0500-0000A9000000}"/>
    <hyperlink ref="U387" r:id="rId171" xr:uid="{00000000-0004-0000-0500-0000AA000000}"/>
    <hyperlink ref="I388" r:id="rId172" xr:uid="{00000000-0004-0000-0500-0000AB000000}"/>
    <hyperlink ref="O395" r:id="rId173" xr:uid="{00000000-0004-0000-0500-0000AC000000}"/>
    <hyperlink ref="U395" r:id="rId174" xr:uid="{00000000-0004-0000-0500-0000AD000000}"/>
    <hyperlink ref="U404" r:id="rId175" xr:uid="{00000000-0004-0000-0500-0000AE000000}"/>
    <hyperlink ref="I422" r:id="rId176" xr:uid="{00000000-0004-0000-0500-0000AF000000}"/>
    <hyperlink ref="U422" r:id="rId177" xr:uid="{00000000-0004-0000-0500-0000B0000000}"/>
    <hyperlink ref="I423" r:id="rId178" xr:uid="{00000000-0004-0000-0500-0000B1000000}"/>
    <hyperlink ref="U423" r:id="rId179" xr:uid="{00000000-0004-0000-0500-0000B2000000}"/>
    <hyperlink ref="G424" r:id="rId180" xr:uid="{00000000-0004-0000-0500-0000B3000000}"/>
    <hyperlink ref="I424" r:id="rId181" xr:uid="{00000000-0004-0000-0500-0000B4000000}"/>
    <hyperlink ref="I425" r:id="rId182" xr:uid="{00000000-0004-0000-0500-0000B5000000}"/>
    <hyperlink ref="I426" r:id="rId183" xr:uid="{00000000-0004-0000-0500-0000B6000000}"/>
    <hyperlink ref="I427" r:id="rId184" xr:uid="{00000000-0004-0000-0500-0000B7000000}"/>
    <hyperlink ref="O427" r:id="rId185" xr:uid="{00000000-0004-0000-0500-0000B8000000}"/>
    <hyperlink ref="U427" r:id="rId186" xr:uid="{00000000-0004-0000-0500-0000B9000000}"/>
    <hyperlink ref="G428" r:id="rId187" xr:uid="{00000000-0004-0000-0500-0000BA000000}"/>
    <hyperlink ref="I428" r:id="rId188" xr:uid="{00000000-0004-0000-0500-0000BB000000}"/>
    <hyperlink ref="O428" r:id="rId189" xr:uid="{00000000-0004-0000-0500-0000BC000000}"/>
    <hyperlink ref="I429" r:id="rId190" xr:uid="{00000000-0004-0000-0500-0000BD000000}"/>
    <hyperlink ref="G431" r:id="rId191" xr:uid="{00000000-0004-0000-0500-0000BE000000}"/>
    <hyperlink ref="I431" r:id="rId192" xr:uid="{00000000-0004-0000-0500-0000BF000000}"/>
    <hyperlink ref="N431" r:id="rId193" xr:uid="{00000000-0004-0000-0500-0000C0000000}"/>
    <hyperlink ref="U435" r:id="rId194" xr:uid="{00000000-0004-0000-0500-0000C1000000}"/>
    <hyperlink ref="U438" r:id="rId195" xr:uid="{00000000-0004-0000-0500-0000C2000000}"/>
    <hyperlink ref="U439" r:id="rId196" xr:uid="{00000000-0004-0000-0500-0000C3000000}"/>
    <hyperlink ref="U442" r:id="rId197" xr:uid="{00000000-0004-0000-0500-0000C4000000}"/>
    <hyperlink ref="U445" r:id="rId198" xr:uid="{00000000-0004-0000-0500-0000C5000000}"/>
    <hyperlink ref="O448" r:id="rId199" xr:uid="{00000000-0004-0000-0500-0000C6000000}"/>
    <hyperlink ref="U449" r:id="rId200" xr:uid="{00000000-0004-0000-0500-0000C7000000}"/>
    <hyperlink ref="O450" r:id="rId201" xr:uid="{00000000-0004-0000-0500-0000C8000000}"/>
    <hyperlink ref="U451" r:id="rId202" xr:uid="{00000000-0004-0000-0500-0000C9000000}"/>
    <hyperlink ref="O473" r:id="rId203" xr:uid="{00000000-0004-0000-0500-0000CA000000}"/>
    <hyperlink ref="U475" r:id="rId204" xr:uid="{00000000-0004-0000-0500-0000CB000000}"/>
    <hyperlink ref="U495" r:id="rId205" xr:uid="{00000000-0004-0000-0500-0000CC000000}"/>
    <hyperlink ref="O531" r:id="rId206" xr:uid="{00000000-0004-0000-0500-0000CD000000}"/>
  </hyperlinks>
  <pageMargins left="0.70866141732283472" right="0.70866141732283472" top="0.74803149606299213" bottom="0.74803149606299213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2EFD9"/>
  </sheetPr>
  <dimension ref="A1:BP550"/>
  <sheetViews>
    <sheetView showGridLines="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L4" sqref="L4"/>
    </sheetView>
  </sheetViews>
  <sheetFormatPr defaultColWidth="14.42578125" defaultRowHeight="15" customHeight="1"/>
  <cols>
    <col min="1" max="1" width="5.140625" customWidth="1"/>
    <col min="2" max="2" width="26.5703125" customWidth="1"/>
    <col min="3" max="3" width="6" customWidth="1"/>
    <col min="4" max="4" width="31" customWidth="1"/>
    <col min="5" max="5" width="9.42578125" customWidth="1"/>
    <col min="6" max="6" width="5.140625" customWidth="1"/>
    <col min="7" max="7" width="5.42578125" customWidth="1"/>
    <col min="8" max="8" width="31.140625" customWidth="1"/>
    <col min="9" max="9" width="34.42578125" customWidth="1"/>
    <col min="10" max="10" width="17.140625" customWidth="1"/>
    <col min="11" max="11" width="5.28515625" customWidth="1"/>
    <col min="12" max="12" width="12.28515625" customWidth="1"/>
    <col min="13" max="14" width="16.140625" customWidth="1"/>
    <col min="15" max="15" width="40" customWidth="1"/>
    <col min="16" max="19" width="13.7109375" customWidth="1"/>
    <col min="20" max="20" width="16.140625" customWidth="1"/>
    <col min="21" max="21" width="40" customWidth="1"/>
    <col min="22" max="25" width="13.7109375" customWidth="1"/>
    <col min="26" max="26" width="16.140625" customWidth="1"/>
    <col min="27" max="27" width="53.7109375" customWidth="1"/>
    <col min="28" max="31" width="13.7109375" customWidth="1"/>
    <col min="32" max="32" width="16.140625" customWidth="1"/>
    <col min="33" max="34" width="12.140625" customWidth="1"/>
    <col min="35" max="35" width="8.140625" customWidth="1"/>
    <col min="36" max="36" width="27.7109375" customWidth="1"/>
    <col min="37" max="37" width="16.85546875" customWidth="1"/>
    <col min="38" max="38" width="0.140625" customWidth="1"/>
    <col min="39" max="39" width="20.85546875" customWidth="1"/>
    <col min="40" max="40" width="15.7109375" customWidth="1"/>
    <col min="41" max="41" width="13.7109375" customWidth="1"/>
    <col min="42" max="42" width="13.42578125" customWidth="1"/>
    <col min="43" max="43" width="17.85546875" customWidth="1"/>
    <col min="44" max="44" width="14.140625" customWidth="1"/>
    <col min="45" max="45" width="40.28515625" customWidth="1"/>
    <col min="46" max="46" width="11.85546875" customWidth="1"/>
    <col min="47" max="47" width="12.42578125" customWidth="1"/>
    <col min="48" max="48" width="16" customWidth="1"/>
    <col min="49" max="49" width="17.5703125" customWidth="1"/>
    <col min="50" max="50" width="17.85546875" customWidth="1"/>
    <col min="51" max="51" width="19.7109375" customWidth="1"/>
    <col min="52" max="52" width="14.7109375" customWidth="1"/>
    <col min="53" max="68" width="8.7109375" customWidth="1"/>
  </cols>
  <sheetData>
    <row r="1" spans="1:68" ht="20.25" customHeight="1">
      <c r="A1" s="528"/>
      <c r="B1" s="528"/>
      <c r="C1" s="528"/>
      <c r="D1" s="528"/>
      <c r="E1" s="528"/>
      <c r="F1" s="591" t="s">
        <v>1059</v>
      </c>
      <c r="G1" s="591" t="s">
        <v>1059</v>
      </c>
      <c r="H1" s="591" t="s">
        <v>25</v>
      </c>
      <c r="I1" s="591" t="s">
        <v>1882</v>
      </c>
      <c r="J1" s="634" t="s">
        <v>4</v>
      </c>
      <c r="K1" s="584" t="s">
        <v>1062</v>
      </c>
      <c r="L1" s="635" t="s">
        <v>1047</v>
      </c>
      <c r="M1" s="628" t="s">
        <v>1048</v>
      </c>
      <c r="N1" s="564"/>
      <c r="O1" s="564"/>
      <c r="P1" s="564"/>
      <c r="Q1" s="564"/>
      <c r="R1" s="564"/>
      <c r="S1" s="559"/>
      <c r="T1" s="629" t="s">
        <v>1049</v>
      </c>
      <c r="U1" s="564"/>
      <c r="V1" s="564"/>
      <c r="W1" s="564"/>
      <c r="X1" s="564"/>
      <c r="Y1" s="559"/>
      <c r="Z1" s="630" t="s">
        <v>1050</v>
      </c>
      <c r="AA1" s="564"/>
      <c r="AB1" s="564"/>
      <c r="AC1" s="564"/>
      <c r="AD1" s="564"/>
      <c r="AE1" s="559"/>
      <c r="AF1" s="333" t="s">
        <v>1051</v>
      </c>
      <c r="AG1" s="334"/>
      <c r="AH1" s="645" t="s">
        <v>1052</v>
      </c>
      <c r="AI1" s="335"/>
      <c r="AJ1" s="335"/>
      <c r="AK1" s="624" t="s">
        <v>1053</v>
      </c>
      <c r="AL1" s="100"/>
      <c r="AM1" s="624" t="s">
        <v>1054</v>
      </c>
      <c r="AN1" s="624" t="s">
        <v>1055</v>
      </c>
      <c r="AO1" s="624" t="s">
        <v>1056</v>
      </c>
      <c r="AP1" s="624" t="s">
        <v>1057</v>
      </c>
      <c r="AQ1" s="624" t="s">
        <v>1058</v>
      </c>
      <c r="AR1" s="646"/>
      <c r="AS1" s="647" t="s">
        <v>1883</v>
      </c>
      <c r="AT1" s="648" t="s">
        <v>1884</v>
      </c>
      <c r="AU1" s="648" t="s">
        <v>1885</v>
      </c>
      <c r="AV1" s="636" t="s">
        <v>1886</v>
      </c>
      <c r="AW1" s="637" t="s">
        <v>1887</v>
      </c>
      <c r="AX1" s="640" t="s">
        <v>1888</v>
      </c>
      <c r="AY1" s="637" t="s">
        <v>1889</v>
      </c>
      <c r="AZ1" s="640" t="s">
        <v>1890</v>
      </c>
      <c r="BA1" s="100"/>
      <c r="BB1" s="336"/>
      <c r="BC1" s="336"/>
      <c r="BD1" s="336"/>
      <c r="BE1" s="336"/>
      <c r="BF1" s="336"/>
      <c r="BG1" s="336"/>
      <c r="BH1" s="336"/>
      <c r="BI1" s="336"/>
      <c r="BJ1" s="336"/>
      <c r="BK1" s="336"/>
      <c r="BL1" s="336"/>
      <c r="BM1" s="336"/>
      <c r="BN1" s="336"/>
      <c r="BO1" s="336"/>
      <c r="BP1" s="336"/>
    </row>
    <row r="2" spans="1:68" ht="20.25" customHeight="1">
      <c r="A2" s="528" t="s">
        <v>1891</v>
      </c>
      <c r="B2" s="528" t="s">
        <v>25</v>
      </c>
      <c r="C2" s="528" t="s">
        <v>1892</v>
      </c>
      <c r="D2" s="528" t="s">
        <v>1882</v>
      </c>
      <c r="E2" s="528"/>
      <c r="F2" s="570"/>
      <c r="G2" s="570"/>
      <c r="H2" s="570"/>
      <c r="I2" s="570"/>
      <c r="J2" s="570"/>
      <c r="K2" s="570"/>
      <c r="L2" s="570"/>
      <c r="M2" s="641" t="s">
        <v>1893</v>
      </c>
      <c r="N2" s="641" t="s">
        <v>1894</v>
      </c>
      <c r="O2" s="641" t="s">
        <v>1895</v>
      </c>
      <c r="P2" s="642" t="s">
        <v>1065</v>
      </c>
      <c r="Q2" s="564"/>
      <c r="R2" s="559"/>
      <c r="S2" s="643" t="s">
        <v>1066</v>
      </c>
      <c r="T2" s="632" t="s">
        <v>1893</v>
      </c>
      <c r="U2" s="632" t="s">
        <v>1064</v>
      </c>
      <c r="V2" s="633" t="s">
        <v>1065</v>
      </c>
      <c r="W2" s="564"/>
      <c r="X2" s="559"/>
      <c r="Y2" s="644" t="s">
        <v>1066</v>
      </c>
      <c r="Z2" s="626" t="s">
        <v>1893</v>
      </c>
      <c r="AA2" s="626" t="s">
        <v>1064</v>
      </c>
      <c r="AB2" s="627" t="s">
        <v>1065</v>
      </c>
      <c r="AC2" s="564"/>
      <c r="AD2" s="559"/>
      <c r="AE2" s="625" t="s">
        <v>1066</v>
      </c>
      <c r="AF2" s="333" t="s">
        <v>1067</v>
      </c>
      <c r="AG2" s="334"/>
      <c r="AH2" s="570"/>
      <c r="AI2" s="335" t="s">
        <v>1068</v>
      </c>
      <c r="AJ2" s="335" t="s">
        <v>1069</v>
      </c>
      <c r="AK2" s="570"/>
      <c r="AL2" s="10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638"/>
      <c r="AX2" s="638"/>
      <c r="AY2" s="638"/>
      <c r="AZ2" s="638"/>
      <c r="BA2" s="100"/>
      <c r="BB2" s="336"/>
      <c r="BC2" s="336"/>
      <c r="BD2" s="336"/>
      <c r="BE2" s="336"/>
      <c r="BF2" s="336"/>
      <c r="BG2" s="336"/>
      <c r="BH2" s="336"/>
      <c r="BI2" s="336"/>
      <c r="BJ2" s="336"/>
      <c r="BK2" s="336"/>
      <c r="BL2" s="336"/>
      <c r="BM2" s="336"/>
      <c r="BN2" s="336"/>
      <c r="BO2" s="336"/>
      <c r="BP2" s="336"/>
    </row>
    <row r="3" spans="1:68" ht="20.25" customHeight="1">
      <c r="A3" s="528"/>
      <c r="B3" s="528"/>
      <c r="C3" s="528"/>
      <c r="D3" s="528"/>
      <c r="E3" s="528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337" t="s">
        <v>1071</v>
      </c>
      <c r="Q3" s="337" t="s">
        <v>1072</v>
      </c>
      <c r="R3" s="337" t="s">
        <v>1073</v>
      </c>
      <c r="S3" s="561"/>
      <c r="T3" s="561"/>
      <c r="U3" s="561"/>
      <c r="V3" s="338" t="s">
        <v>1071</v>
      </c>
      <c r="W3" s="338" t="s">
        <v>1072</v>
      </c>
      <c r="X3" s="338" t="s">
        <v>1073</v>
      </c>
      <c r="Y3" s="561"/>
      <c r="Z3" s="561"/>
      <c r="AA3" s="561"/>
      <c r="AB3" s="339" t="s">
        <v>1071</v>
      </c>
      <c r="AC3" s="339" t="s">
        <v>1072</v>
      </c>
      <c r="AD3" s="339" t="s">
        <v>1073</v>
      </c>
      <c r="AE3" s="561"/>
      <c r="AF3" s="333"/>
      <c r="AG3" s="334"/>
      <c r="AH3" s="561"/>
      <c r="AI3" s="335"/>
      <c r="AJ3" s="335"/>
      <c r="AK3" s="561"/>
      <c r="AL3" s="100"/>
      <c r="AM3" s="561"/>
      <c r="AN3" s="561"/>
      <c r="AO3" s="561"/>
      <c r="AP3" s="561"/>
      <c r="AQ3" s="561"/>
      <c r="AR3" s="561"/>
      <c r="AS3" s="561"/>
      <c r="AT3" s="561"/>
      <c r="AU3" s="561"/>
      <c r="AV3" s="561"/>
      <c r="AW3" s="639"/>
      <c r="AX3" s="639"/>
      <c r="AY3" s="639"/>
      <c r="AZ3" s="639"/>
      <c r="BA3" s="100"/>
      <c r="BB3" s="336"/>
      <c r="BC3" s="336"/>
      <c r="BD3" s="336"/>
      <c r="BE3" s="336"/>
      <c r="BF3" s="336"/>
      <c r="BG3" s="336"/>
      <c r="BH3" s="336"/>
      <c r="BI3" s="336"/>
      <c r="BJ3" s="336"/>
      <c r="BK3" s="336"/>
      <c r="BL3" s="336"/>
      <c r="BM3" s="336"/>
      <c r="BN3" s="336"/>
      <c r="BO3" s="336"/>
      <c r="BP3" s="336"/>
    </row>
    <row r="4" spans="1:68" ht="20.25" customHeight="1">
      <c r="A4" s="340" t="s">
        <v>1891</v>
      </c>
      <c r="B4" s="100" t="s">
        <v>1896</v>
      </c>
      <c r="C4" s="100" t="s">
        <v>1892</v>
      </c>
      <c r="D4" s="100" t="s">
        <v>1897</v>
      </c>
      <c r="E4" s="100" t="s">
        <v>1898</v>
      </c>
      <c r="F4" s="63" t="s">
        <v>0</v>
      </c>
      <c r="G4" s="341" t="s">
        <v>0</v>
      </c>
      <c r="H4" s="342" t="s">
        <v>1896</v>
      </c>
      <c r="I4" s="342" t="s">
        <v>1897</v>
      </c>
      <c r="J4" s="342" t="s">
        <v>1899</v>
      </c>
      <c r="K4" s="342" t="s">
        <v>1062</v>
      </c>
      <c r="L4" s="342" t="s">
        <v>1065</v>
      </c>
      <c r="M4" s="342" t="s">
        <v>1900</v>
      </c>
      <c r="N4" s="342" t="s">
        <v>1901</v>
      </c>
      <c r="O4" s="342" t="s">
        <v>1902</v>
      </c>
      <c r="P4" s="342" t="s">
        <v>1903</v>
      </c>
      <c r="Q4" s="342" t="s">
        <v>1904</v>
      </c>
      <c r="R4" s="342" t="s">
        <v>1905</v>
      </c>
      <c r="S4" s="342" t="s">
        <v>1906</v>
      </c>
      <c r="T4" s="342" t="s">
        <v>1907</v>
      </c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3"/>
      <c r="AG4" s="344"/>
      <c r="AH4" s="345"/>
      <c r="AI4" s="63"/>
      <c r="AJ4" s="63"/>
      <c r="AK4" s="341"/>
      <c r="AL4" s="100"/>
      <c r="AM4" s="63"/>
      <c r="AN4" s="63"/>
      <c r="AO4" s="63"/>
      <c r="AP4" s="346"/>
      <c r="AQ4" s="63"/>
      <c r="AR4" s="529"/>
      <c r="AS4" s="347" t="s">
        <v>1883</v>
      </c>
      <c r="AT4" s="348" t="s">
        <v>1908</v>
      </c>
      <c r="AU4" s="348"/>
      <c r="AV4" s="63"/>
      <c r="AW4" s="349"/>
      <c r="AX4" s="350"/>
      <c r="AY4" s="349"/>
      <c r="AZ4" s="350"/>
      <c r="BA4" s="100"/>
      <c r="BB4" s="336"/>
      <c r="BC4" s="336"/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</row>
    <row r="5" spans="1:68" ht="20.25" customHeight="1">
      <c r="A5" s="100"/>
      <c r="B5" s="100"/>
      <c r="C5" s="100"/>
      <c r="D5" s="100"/>
      <c r="E5" s="100"/>
      <c r="F5" s="63"/>
      <c r="G5" s="341"/>
      <c r="H5" s="342">
        <v>1</v>
      </c>
      <c r="I5" s="342">
        <v>2</v>
      </c>
      <c r="J5" s="342">
        <v>3</v>
      </c>
      <c r="K5" s="342">
        <v>4</v>
      </c>
      <c r="L5" s="342">
        <v>5</v>
      </c>
      <c r="M5" s="342">
        <v>6</v>
      </c>
      <c r="N5" s="342">
        <v>7</v>
      </c>
      <c r="O5" s="342">
        <v>8</v>
      </c>
      <c r="P5" s="342">
        <v>9</v>
      </c>
      <c r="Q5" s="342">
        <v>10</v>
      </c>
      <c r="R5" s="342">
        <v>11</v>
      </c>
      <c r="S5" s="342">
        <v>12</v>
      </c>
      <c r="T5" s="342">
        <v>13</v>
      </c>
      <c r="U5" s="342">
        <v>14</v>
      </c>
      <c r="V5" s="342">
        <v>15</v>
      </c>
      <c r="W5" s="342">
        <v>16</v>
      </c>
      <c r="X5" s="342">
        <v>17</v>
      </c>
      <c r="Y5" s="342">
        <v>18</v>
      </c>
      <c r="Z5" s="342">
        <v>19</v>
      </c>
      <c r="AA5" s="342">
        <v>20</v>
      </c>
      <c r="AB5" s="342">
        <v>21</v>
      </c>
      <c r="AC5" s="342">
        <v>22</v>
      </c>
      <c r="AD5" s="342">
        <v>23</v>
      </c>
      <c r="AE5" s="342">
        <v>24</v>
      </c>
      <c r="AF5" s="343"/>
      <c r="AG5" s="344"/>
      <c r="AH5" s="345"/>
      <c r="AI5" s="63"/>
      <c r="AJ5" s="63"/>
      <c r="AK5" s="341"/>
      <c r="AL5" s="100"/>
      <c r="AM5" s="63"/>
      <c r="AN5" s="63"/>
      <c r="AO5" s="63"/>
      <c r="AP5" s="346"/>
      <c r="AQ5" s="63"/>
      <c r="AR5" s="529"/>
      <c r="AS5" s="347"/>
      <c r="AT5" s="348"/>
      <c r="AU5" s="348"/>
      <c r="AV5" s="63"/>
      <c r="AW5" s="348"/>
      <c r="AX5" s="63"/>
      <c r="AY5" s="348"/>
      <c r="AZ5" s="63"/>
      <c r="BA5" s="100"/>
      <c r="BB5" s="336"/>
      <c r="BC5" s="336"/>
      <c r="BD5" s="336"/>
      <c r="BE5" s="336"/>
      <c r="BF5" s="336"/>
      <c r="BG5" s="336"/>
      <c r="BH5" s="336"/>
      <c r="BI5" s="336"/>
      <c r="BJ5" s="336"/>
      <c r="BK5" s="336"/>
      <c r="BL5" s="336"/>
      <c r="BM5" s="336"/>
      <c r="BN5" s="336"/>
      <c r="BO5" s="336"/>
      <c r="BP5" s="336"/>
    </row>
    <row r="6" spans="1:68" ht="20.25" customHeight="1">
      <c r="A6" s="100">
        <v>11</v>
      </c>
      <c r="B6" s="100" t="s">
        <v>34</v>
      </c>
      <c r="C6" s="100">
        <v>11</v>
      </c>
      <c r="D6" s="102" t="s">
        <v>1909</v>
      </c>
      <c r="E6" s="100" t="str">
        <f t="shared" ref="E6:E260" si="0">IF(I6=D6,"Sama","Beda")</f>
        <v>Sama</v>
      </c>
      <c r="F6" s="63"/>
      <c r="G6" s="341"/>
      <c r="H6" s="351"/>
      <c r="I6" s="351" t="s">
        <v>1909</v>
      </c>
      <c r="J6" s="352">
        <f>SUM(J7:J29)</f>
        <v>213998.36149629761</v>
      </c>
      <c r="K6" s="353">
        <f>COUNTIF(K7:K29,"D") + COUNTIF(K7:K29,"DS")</f>
        <v>19</v>
      </c>
      <c r="L6" s="354">
        <f>SUBTOTAL(9,L7:L29)</f>
        <v>193696.84999999995</v>
      </c>
      <c r="M6" s="342"/>
      <c r="N6" s="355"/>
      <c r="O6" s="356">
        <v>23</v>
      </c>
      <c r="P6" s="354">
        <f t="shared" ref="P6:S6" si="1">SUBTOTAL(9,P7:P29)</f>
        <v>143091.18</v>
      </c>
      <c r="Q6" s="354">
        <f t="shared" si="1"/>
        <v>0</v>
      </c>
      <c r="R6" s="354">
        <f t="shared" si="1"/>
        <v>143091.18</v>
      </c>
      <c r="S6" s="354">
        <f t="shared" si="1"/>
        <v>143091.18</v>
      </c>
      <c r="T6" s="342">
        <f>COUNTIF(T7:T29,Z7)</f>
        <v>1</v>
      </c>
      <c r="U6" s="351">
        <v>7</v>
      </c>
      <c r="V6" s="337">
        <v>102769.73</v>
      </c>
      <c r="W6" s="337">
        <v>0</v>
      </c>
      <c r="X6" s="337">
        <v>102769.73</v>
      </c>
      <c r="Y6" s="354">
        <f>SUBTOTAL(9,Y7:Y29)</f>
        <v>80013.3</v>
      </c>
      <c r="Z6" s="337">
        <f>COUNTIF(Z7:Z29,Z16)</f>
        <v>9</v>
      </c>
      <c r="AA6" s="351">
        <v>11</v>
      </c>
      <c r="AB6" s="354">
        <f t="shared" ref="AB6:AE6" si="2">SUBTOTAL(9,AB7:AB29)</f>
        <v>158785.21</v>
      </c>
      <c r="AC6" s="354">
        <f t="shared" si="2"/>
        <v>9646.02</v>
      </c>
      <c r="AD6" s="354">
        <f t="shared" si="2"/>
        <v>77942.44</v>
      </c>
      <c r="AE6" s="354">
        <f t="shared" si="2"/>
        <v>164687.26999999999</v>
      </c>
      <c r="AF6" s="357" t="s">
        <v>1138</v>
      </c>
      <c r="AG6" s="358"/>
      <c r="AH6" s="359"/>
      <c r="AI6" s="360"/>
      <c r="AJ6" s="360"/>
      <c r="AK6" s="361">
        <f>COUNTIF(AK7:AK29,"V") + COUNTIF(AK7:AK29,"VV") + COUNTIF(AK7:AK29,"VVV")</f>
        <v>10</v>
      </c>
      <c r="AL6" s="18"/>
      <c r="AM6" s="360"/>
      <c r="AN6" s="360"/>
      <c r="AO6" s="360"/>
      <c r="AP6" s="346"/>
      <c r="AQ6" s="360"/>
      <c r="AR6" s="530"/>
      <c r="AS6" s="360"/>
      <c r="AT6" s="362"/>
      <c r="AU6" s="362"/>
      <c r="AV6" s="362"/>
      <c r="AW6" s="362"/>
      <c r="AX6" s="362"/>
      <c r="AY6" s="362"/>
      <c r="AZ6" s="362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</row>
    <row r="7" spans="1:68" ht="20.25" customHeight="1">
      <c r="A7" s="100">
        <v>11</v>
      </c>
      <c r="B7" s="100" t="s">
        <v>34</v>
      </c>
      <c r="C7" s="363">
        <v>45057</v>
      </c>
      <c r="D7" s="102" t="s">
        <v>90</v>
      </c>
      <c r="E7" s="100" t="str">
        <f t="shared" si="0"/>
        <v>Sama</v>
      </c>
      <c r="F7" s="63">
        <f t="shared" ref="F7:F29" si="3">SUBTOTAL(3,$G$7:G7)</f>
        <v>1</v>
      </c>
      <c r="G7" s="63">
        <v>1</v>
      </c>
      <c r="H7" s="64" t="s">
        <v>34</v>
      </c>
      <c r="I7" s="64" t="s">
        <v>90</v>
      </c>
      <c r="J7" s="66">
        <v>10152.737536002001</v>
      </c>
      <c r="K7" s="364" t="s">
        <v>91</v>
      </c>
      <c r="L7" s="68">
        <f>AE7</f>
        <v>10153</v>
      </c>
      <c r="M7" s="63"/>
      <c r="N7" s="365">
        <f t="shared" ref="N7:N29" si="4">VALUE(RIGHT(O7,4))</f>
        <v>2013</v>
      </c>
      <c r="O7" s="531" t="s">
        <v>1075</v>
      </c>
      <c r="P7" s="68">
        <v>21563.95</v>
      </c>
      <c r="Q7" s="68">
        <v>0</v>
      </c>
      <c r="R7" s="68">
        <v>21563.95</v>
      </c>
      <c r="S7" s="68">
        <f t="shared" ref="S7:S29" si="5">IF(R7&gt;0,R7,IF(P7&gt;0,P7,0))</f>
        <v>21563.95</v>
      </c>
      <c r="T7" s="64"/>
      <c r="U7" s="347"/>
      <c r="V7" s="64"/>
      <c r="W7" s="64"/>
      <c r="X7" s="64"/>
      <c r="Y7" s="68">
        <f t="shared" ref="Y7:Y29" si="6">IF(X7&gt;0,X7,IF(V7&gt;0,V7,0))</f>
        <v>0</v>
      </c>
      <c r="Z7" s="63" t="s">
        <v>1076</v>
      </c>
      <c r="AA7" s="531" t="s">
        <v>93</v>
      </c>
      <c r="AB7" s="345">
        <v>10153</v>
      </c>
      <c r="AC7" s="345">
        <v>0</v>
      </c>
      <c r="AD7" s="345">
        <v>10153</v>
      </c>
      <c r="AE7" s="68">
        <f t="shared" ref="AE7:AE29" si="7">IF(AD7&gt;0,AD7,IF(AB7&gt;0,AB7,0))</f>
        <v>10153</v>
      </c>
      <c r="AF7" s="366">
        <v>2020</v>
      </c>
      <c r="AG7" s="358"/>
      <c r="AH7" s="359"/>
      <c r="AI7" s="360" t="s">
        <v>1077</v>
      </c>
      <c r="AJ7" s="360"/>
      <c r="AK7" s="360" t="str">
        <f t="shared" ref="AK7:AK29" si="8">CONCATENATE(M7,T7,Z7)</f>
        <v>V</v>
      </c>
      <c r="AL7" s="18" t="s">
        <v>1078</v>
      </c>
      <c r="AM7" s="360" t="str">
        <f t="shared" ref="AM7:AM29" si="9">IF(N7="","3",IF(N7&lt;=2018,"2","1"))</f>
        <v>2</v>
      </c>
      <c r="AN7" s="360" t="str">
        <f t="shared" ref="AN7:AN29" si="10">IF(S7&gt;0,"1","2")</f>
        <v>1</v>
      </c>
      <c r="AO7" s="360">
        <v>2</v>
      </c>
      <c r="AP7" s="346" t="str">
        <f t="shared" ref="AP7:AP29" si="11">IF(Y7&gt;0,"1",IF(AE7&gt;0,"1","2"))</f>
        <v>1</v>
      </c>
      <c r="AQ7" s="360" t="str">
        <f t="shared" ref="AQ7:AQ29" si="12">CONCATENATE(AM7,".",AN7,".",AO7,".",AP7)</f>
        <v>2.1.2.1</v>
      </c>
      <c r="AR7" s="532"/>
      <c r="AS7" s="362" t="s">
        <v>1910</v>
      </c>
      <c r="AT7" s="367">
        <v>10153</v>
      </c>
      <c r="AU7" s="367">
        <v>10153</v>
      </c>
      <c r="AV7" s="368">
        <f t="shared" ref="AV7:AV9" si="13">AU7/AT7</f>
        <v>1</v>
      </c>
      <c r="AW7" s="367">
        <v>10153</v>
      </c>
      <c r="AX7" s="368">
        <f t="shared" ref="AX7:AX9" si="14">AW7/AT7</f>
        <v>1</v>
      </c>
      <c r="AY7" s="362" t="s">
        <v>1032</v>
      </c>
      <c r="AZ7" s="368">
        <v>0</v>
      </c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</row>
    <row r="8" spans="1:68" ht="20.25" customHeight="1">
      <c r="A8" s="100">
        <v>11</v>
      </c>
      <c r="B8" s="100" t="s">
        <v>34</v>
      </c>
      <c r="C8" s="369">
        <v>45271</v>
      </c>
      <c r="D8" s="102" t="s">
        <v>94</v>
      </c>
      <c r="E8" s="100" t="str">
        <f t="shared" si="0"/>
        <v>Sama</v>
      </c>
      <c r="F8" s="63">
        <f t="shared" si="3"/>
        <v>2</v>
      </c>
      <c r="G8" s="63">
        <v>2</v>
      </c>
      <c r="H8" s="64" t="s">
        <v>34</v>
      </c>
      <c r="I8" s="64" t="s">
        <v>94</v>
      </c>
      <c r="J8" s="66">
        <v>8299.0865860787981</v>
      </c>
      <c r="K8" s="533" t="s">
        <v>91</v>
      </c>
      <c r="L8" s="68">
        <f>IF(S8&gt;0,S8,IF(Y8&gt;0,Y8,IF(AE8&gt;0,AE8,0)))</f>
        <v>6913.93</v>
      </c>
      <c r="M8" s="63"/>
      <c r="N8" s="365">
        <f t="shared" si="4"/>
        <v>2013</v>
      </c>
      <c r="O8" s="531" t="s">
        <v>1080</v>
      </c>
      <c r="P8" s="68"/>
      <c r="Q8" s="68"/>
      <c r="R8" s="68"/>
      <c r="S8" s="68">
        <f t="shared" si="5"/>
        <v>0</v>
      </c>
      <c r="T8" s="63"/>
      <c r="U8" s="347"/>
      <c r="V8" s="64"/>
      <c r="W8" s="64"/>
      <c r="X8" s="64"/>
      <c r="Y8" s="68">
        <f t="shared" si="6"/>
        <v>0</v>
      </c>
      <c r="Z8" s="345" t="s">
        <v>1076</v>
      </c>
      <c r="AA8" s="531" t="s">
        <v>95</v>
      </c>
      <c r="AB8" s="345">
        <v>6913.93</v>
      </c>
      <c r="AC8" s="345">
        <v>0</v>
      </c>
      <c r="AD8" s="345">
        <v>6913.93</v>
      </c>
      <c r="AE8" s="68">
        <f t="shared" si="7"/>
        <v>6913.93</v>
      </c>
      <c r="AF8" s="366">
        <v>2020</v>
      </c>
      <c r="AG8" s="358"/>
      <c r="AH8" s="359"/>
      <c r="AI8" s="360"/>
      <c r="AJ8" s="360"/>
      <c r="AK8" s="360" t="str">
        <f t="shared" si="8"/>
        <v>V</v>
      </c>
      <c r="AL8" s="18" t="s">
        <v>1081</v>
      </c>
      <c r="AM8" s="360" t="str">
        <f t="shared" si="9"/>
        <v>2</v>
      </c>
      <c r="AN8" s="360" t="str">
        <f t="shared" si="10"/>
        <v>2</v>
      </c>
      <c r="AO8" s="360" t="s">
        <v>1082</v>
      </c>
      <c r="AP8" s="346" t="str">
        <f t="shared" si="11"/>
        <v>1</v>
      </c>
      <c r="AQ8" s="360" t="str">
        <f t="shared" si="12"/>
        <v>2.2.1b.1</v>
      </c>
      <c r="AR8" s="530"/>
      <c r="AS8" s="362" t="s">
        <v>95</v>
      </c>
      <c r="AT8" s="367">
        <v>8299</v>
      </c>
      <c r="AU8" s="367">
        <v>6914</v>
      </c>
      <c r="AV8" s="368">
        <f t="shared" si="13"/>
        <v>0.83311242318351608</v>
      </c>
      <c r="AW8" s="367">
        <v>6914</v>
      </c>
      <c r="AX8" s="368">
        <f t="shared" si="14"/>
        <v>0.83311242318351608</v>
      </c>
      <c r="AY8" s="367">
        <v>1518</v>
      </c>
      <c r="AZ8" s="368">
        <f t="shared" ref="AZ8:AZ9" si="15">AY8/AT8</f>
        <v>0.18291360404868057</v>
      </c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</row>
    <row r="9" spans="1:68" ht="20.25" customHeight="1">
      <c r="A9" s="100">
        <v>11</v>
      </c>
      <c r="B9" s="100" t="s">
        <v>34</v>
      </c>
      <c r="C9" s="363">
        <v>45088</v>
      </c>
      <c r="D9" s="102" t="s">
        <v>96</v>
      </c>
      <c r="E9" s="100" t="str">
        <f t="shared" si="0"/>
        <v>Sama</v>
      </c>
      <c r="F9" s="63">
        <f t="shared" si="3"/>
        <v>3</v>
      </c>
      <c r="G9" s="63">
        <v>3</v>
      </c>
      <c r="H9" s="64" t="s">
        <v>34</v>
      </c>
      <c r="I9" s="64" t="s">
        <v>96</v>
      </c>
      <c r="J9" s="66">
        <v>25690.363000958256</v>
      </c>
      <c r="K9" s="533" t="s">
        <v>91</v>
      </c>
      <c r="L9" s="68">
        <f>AD9</f>
        <v>24296.52</v>
      </c>
      <c r="M9" s="63"/>
      <c r="N9" s="365">
        <f t="shared" si="4"/>
        <v>2013</v>
      </c>
      <c r="O9" s="531" t="s">
        <v>1084</v>
      </c>
      <c r="P9" s="68">
        <v>14202.55</v>
      </c>
      <c r="Q9" s="68">
        <v>0</v>
      </c>
      <c r="R9" s="68">
        <v>14202.55</v>
      </c>
      <c r="S9" s="68">
        <f t="shared" si="5"/>
        <v>14202.55</v>
      </c>
      <c r="T9" s="63"/>
      <c r="U9" s="531" t="s">
        <v>1085</v>
      </c>
      <c r="V9" s="370">
        <v>33658</v>
      </c>
      <c r="W9" s="370">
        <v>0</v>
      </c>
      <c r="X9" s="370">
        <v>33658</v>
      </c>
      <c r="Y9" s="68">
        <f t="shared" si="6"/>
        <v>33658</v>
      </c>
      <c r="Z9" s="345" t="s">
        <v>1076</v>
      </c>
      <c r="AA9" s="531" t="s">
        <v>98</v>
      </c>
      <c r="AB9" s="345">
        <v>22221.8</v>
      </c>
      <c r="AC9" s="345">
        <v>2074.71</v>
      </c>
      <c r="AD9" s="345">
        <v>24296.52</v>
      </c>
      <c r="AE9" s="68">
        <f t="shared" si="7"/>
        <v>24296.52</v>
      </c>
      <c r="AF9" s="364">
        <v>2022</v>
      </c>
      <c r="AG9" s="344"/>
      <c r="AH9" s="84"/>
      <c r="AI9" s="63"/>
      <c r="AJ9" s="63"/>
      <c r="AK9" s="63" t="str">
        <f t="shared" si="8"/>
        <v>V</v>
      </c>
      <c r="AL9" s="47" t="s">
        <v>1086</v>
      </c>
      <c r="AM9" s="63" t="str">
        <f t="shared" si="9"/>
        <v>2</v>
      </c>
      <c r="AN9" s="63" t="str">
        <f t="shared" si="10"/>
        <v>1</v>
      </c>
      <c r="AO9" s="63">
        <v>2</v>
      </c>
      <c r="AP9" s="346" t="str">
        <f t="shared" si="11"/>
        <v>1</v>
      </c>
      <c r="AQ9" s="63" t="str">
        <f t="shared" si="12"/>
        <v>2.1.2.1</v>
      </c>
      <c r="AR9" s="534"/>
      <c r="AS9" s="64" t="s">
        <v>1911</v>
      </c>
      <c r="AT9" s="95">
        <v>25691.93</v>
      </c>
      <c r="AU9" s="95">
        <v>24296.51</v>
      </c>
      <c r="AV9" s="371">
        <f t="shared" si="13"/>
        <v>0.94568644706723082</v>
      </c>
      <c r="AW9" s="372">
        <v>21147.53</v>
      </c>
      <c r="AX9" s="371">
        <f t="shared" si="14"/>
        <v>0.82311955544017124</v>
      </c>
      <c r="AY9" s="372">
        <v>4544.3999999999996</v>
      </c>
      <c r="AZ9" s="371">
        <f t="shared" si="15"/>
        <v>0.17688044455982868</v>
      </c>
      <c r="BA9" s="47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</row>
    <row r="10" spans="1:68" ht="20.25" customHeight="1">
      <c r="A10" s="100">
        <v>11</v>
      </c>
      <c r="B10" s="100" t="s">
        <v>34</v>
      </c>
      <c r="C10" s="100" t="s">
        <v>1912</v>
      </c>
      <c r="D10" s="102" t="s">
        <v>99</v>
      </c>
      <c r="E10" s="100" t="str">
        <f t="shared" si="0"/>
        <v>Sama</v>
      </c>
      <c r="F10" s="63">
        <f t="shared" si="3"/>
        <v>4</v>
      </c>
      <c r="G10" s="63">
        <v>4</v>
      </c>
      <c r="H10" s="64" t="s">
        <v>34</v>
      </c>
      <c r="I10" s="64" t="s">
        <v>99</v>
      </c>
      <c r="J10" s="66">
        <v>8943.5345531972762</v>
      </c>
      <c r="K10" s="533" t="s">
        <v>104</v>
      </c>
      <c r="L10" s="68">
        <f t="shared" ref="L10:L15" si="16">IF(S10&gt;0,S10,IF(Y10&gt;0,Y10,IF(AE10&gt;0,AE10,0)))</f>
        <v>3890.83</v>
      </c>
      <c r="M10" s="63"/>
      <c r="N10" s="365">
        <f t="shared" si="4"/>
        <v>2014</v>
      </c>
      <c r="O10" s="531" t="s">
        <v>1088</v>
      </c>
      <c r="P10" s="68">
        <v>3890.83</v>
      </c>
      <c r="Q10" s="68">
        <v>0</v>
      </c>
      <c r="R10" s="68">
        <v>3890.83</v>
      </c>
      <c r="S10" s="68">
        <f t="shared" si="5"/>
        <v>3890.83</v>
      </c>
      <c r="T10" s="63"/>
      <c r="U10" s="531" t="s">
        <v>1089</v>
      </c>
      <c r="V10" s="370">
        <v>8943</v>
      </c>
      <c r="W10" s="370">
        <v>1355</v>
      </c>
      <c r="X10" s="370"/>
      <c r="Y10" s="68">
        <f t="shared" si="6"/>
        <v>8943</v>
      </c>
      <c r="Z10" s="345"/>
      <c r="AA10" s="347"/>
      <c r="AB10" s="345"/>
      <c r="AC10" s="345"/>
      <c r="AD10" s="345"/>
      <c r="AE10" s="68">
        <f t="shared" si="7"/>
        <v>0</v>
      </c>
      <c r="AF10" s="366">
        <v>2023</v>
      </c>
      <c r="AG10" s="358" t="s">
        <v>1090</v>
      </c>
      <c r="AH10" s="359"/>
      <c r="AI10" s="360"/>
      <c r="AJ10" s="360"/>
      <c r="AK10" s="360" t="str">
        <f t="shared" si="8"/>
        <v/>
      </c>
      <c r="AL10" s="18" t="s">
        <v>1086</v>
      </c>
      <c r="AM10" s="360" t="str">
        <f t="shared" si="9"/>
        <v>2</v>
      </c>
      <c r="AN10" s="360" t="str">
        <f t="shared" si="10"/>
        <v>1</v>
      </c>
      <c r="AO10" s="360">
        <v>2</v>
      </c>
      <c r="AP10" s="346" t="str">
        <f t="shared" si="11"/>
        <v>1</v>
      </c>
      <c r="AQ10" s="360" t="str">
        <f t="shared" si="12"/>
        <v>2.1.2.1</v>
      </c>
      <c r="AR10" s="530"/>
      <c r="AS10" s="360"/>
      <c r="AT10" s="362"/>
      <c r="AU10" s="362"/>
      <c r="AV10" s="362"/>
      <c r="AW10" s="362"/>
      <c r="AX10" s="362"/>
      <c r="AY10" s="362"/>
      <c r="AZ10" s="362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</row>
    <row r="11" spans="1:68" ht="20.25" customHeight="1">
      <c r="A11" s="100">
        <v>11</v>
      </c>
      <c r="B11" s="100" t="s">
        <v>34</v>
      </c>
      <c r="C11" s="363">
        <v>44937</v>
      </c>
      <c r="D11" s="102" t="s">
        <v>101</v>
      </c>
      <c r="E11" s="100" t="str">
        <f t="shared" si="0"/>
        <v>Sama</v>
      </c>
      <c r="F11" s="63">
        <f t="shared" si="3"/>
        <v>5</v>
      </c>
      <c r="G11" s="63">
        <v>5</v>
      </c>
      <c r="H11" s="64" t="s">
        <v>34</v>
      </c>
      <c r="I11" s="64" t="s">
        <v>101</v>
      </c>
      <c r="J11" s="66">
        <v>7460.8277971540565</v>
      </c>
      <c r="K11" s="533" t="s">
        <v>91</v>
      </c>
      <c r="L11" s="68">
        <f t="shared" si="16"/>
        <v>6310.87</v>
      </c>
      <c r="M11" s="63"/>
      <c r="N11" s="365">
        <f t="shared" si="4"/>
        <v>2016</v>
      </c>
      <c r="O11" s="531" t="s">
        <v>1092</v>
      </c>
      <c r="P11" s="68"/>
      <c r="Q11" s="68"/>
      <c r="R11" s="68"/>
      <c r="S11" s="68">
        <f t="shared" si="5"/>
        <v>0</v>
      </c>
      <c r="T11" s="63"/>
      <c r="U11" s="347"/>
      <c r="V11" s="370"/>
      <c r="W11" s="370"/>
      <c r="X11" s="370"/>
      <c r="Y11" s="68">
        <f t="shared" si="6"/>
        <v>0</v>
      </c>
      <c r="Z11" s="345" t="s">
        <v>1076</v>
      </c>
      <c r="AA11" s="531" t="s">
        <v>102</v>
      </c>
      <c r="AB11" s="345">
        <v>6310.87</v>
      </c>
      <c r="AC11" s="345"/>
      <c r="AD11" s="345"/>
      <c r="AE11" s="68">
        <f t="shared" si="7"/>
        <v>6310.87</v>
      </c>
      <c r="AF11" s="366">
        <v>2023</v>
      </c>
      <c r="AG11" s="358" t="s">
        <v>1090</v>
      </c>
      <c r="AH11" s="359"/>
      <c r="AI11" s="360" t="s">
        <v>1077</v>
      </c>
      <c r="AJ11" s="360"/>
      <c r="AK11" s="360" t="str">
        <f t="shared" si="8"/>
        <v>V</v>
      </c>
      <c r="AL11" s="18" t="s">
        <v>1093</v>
      </c>
      <c r="AM11" s="360" t="str">
        <f t="shared" si="9"/>
        <v>2</v>
      </c>
      <c r="AN11" s="360" t="str">
        <f t="shared" si="10"/>
        <v>2</v>
      </c>
      <c r="AO11" s="360" t="s">
        <v>1082</v>
      </c>
      <c r="AP11" s="346" t="str">
        <f t="shared" si="11"/>
        <v>1</v>
      </c>
      <c r="AQ11" s="360" t="str">
        <f t="shared" si="12"/>
        <v>2.2.1b.1</v>
      </c>
      <c r="AR11" s="530"/>
      <c r="AS11" s="362" t="s">
        <v>102</v>
      </c>
      <c r="AT11" s="367">
        <v>7461</v>
      </c>
      <c r="AU11" s="367">
        <v>6311</v>
      </c>
      <c r="AV11" s="368">
        <f>AU11/AT11</f>
        <v>0.8458651655274092</v>
      </c>
      <c r="AW11" s="367">
        <v>5626</v>
      </c>
      <c r="AX11" s="368">
        <f>AW11/AT11</f>
        <v>0.75405441629808334</v>
      </c>
      <c r="AY11" s="367">
        <v>1836</v>
      </c>
      <c r="AZ11" s="368">
        <f>AY11/AT11</f>
        <v>0.24607961399276237</v>
      </c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</row>
    <row r="12" spans="1:68" ht="20.25" customHeight="1">
      <c r="A12" s="100">
        <v>11</v>
      </c>
      <c r="B12" s="100" t="s">
        <v>34</v>
      </c>
      <c r="C12" s="369">
        <v>45210</v>
      </c>
      <c r="D12" s="102" t="s">
        <v>103</v>
      </c>
      <c r="E12" s="100" t="str">
        <f t="shared" si="0"/>
        <v>Sama</v>
      </c>
      <c r="F12" s="63">
        <f t="shared" si="3"/>
        <v>6</v>
      </c>
      <c r="G12" s="63">
        <v>6</v>
      </c>
      <c r="H12" s="64" t="s">
        <v>34</v>
      </c>
      <c r="I12" s="64" t="s">
        <v>103</v>
      </c>
      <c r="J12" s="66">
        <v>1086.8186031881417</v>
      </c>
      <c r="K12" s="533" t="s">
        <v>104</v>
      </c>
      <c r="L12" s="68">
        <f t="shared" si="16"/>
        <v>402.54</v>
      </c>
      <c r="M12" s="63"/>
      <c r="N12" s="365">
        <f t="shared" si="4"/>
        <v>2013</v>
      </c>
      <c r="O12" s="531" t="s">
        <v>1095</v>
      </c>
      <c r="P12" s="68">
        <v>402.54</v>
      </c>
      <c r="Q12" s="68">
        <v>0</v>
      </c>
      <c r="R12" s="68">
        <v>402.54</v>
      </c>
      <c r="S12" s="68">
        <f t="shared" si="5"/>
        <v>402.54</v>
      </c>
      <c r="T12" s="63"/>
      <c r="U12" s="531" t="s">
        <v>1096</v>
      </c>
      <c r="V12" s="370">
        <v>1087</v>
      </c>
      <c r="W12" s="370">
        <v>0</v>
      </c>
      <c r="X12" s="370">
        <v>1087</v>
      </c>
      <c r="Y12" s="68">
        <f t="shared" si="6"/>
        <v>1087</v>
      </c>
      <c r="Z12" s="345"/>
      <c r="AA12" s="347" t="s">
        <v>105</v>
      </c>
      <c r="AB12" s="345">
        <v>1087</v>
      </c>
      <c r="AC12" s="345">
        <v>0</v>
      </c>
      <c r="AD12" s="345">
        <v>1087</v>
      </c>
      <c r="AE12" s="68">
        <f t="shared" si="7"/>
        <v>1087</v>
      </c>
      <c r="AF12" s="366" t="s">
        <v>1097</v>
      </c>
      <c r="AG12" s="358"/>
      <c r="AH12" s="359"/>
      <c r="AI12" s="360" t="s">
        <v>1098</v>
      </c>
      <c r="AJ12" s="360"/>
      <c r="AK12" s="360" t="str">
        <f t="shared" si="8"/>
        <v/>
      </c>
      <c r="AL12" s="18" t="s">
        <v>1099</v>
      </c>
      <c r="AM12" s="360" t="str">
        <f t="shared" si="9"/>
        <v>2</v>
      </c>
      <c r="AN12" s="360" t="str">
        <f t="shared" si="10"/>
        <v>1</v>
      </c>
      <c r="AO12" s="360">
        <v>2</v>
      </c>
      <c r="AP12" s="346" t="str">
        <f t="shared" si="11"/>
        <v>1</v>
      </c>
      <c r="AQ12" s="360" t="str">
        <f t="shared" si="12"/>
        <v>2.1.2.1</v>
      </c>
      <c r="AR12" s="530"/>
      <c r="AS12" s="360"/>
      <c r="AT12" s="362"/>
      <c r="AU12" s="362"/>
      <c r="AV12" s="362"/>
      <c r="AW12" s="362"/>
      <c r="AX12" s="362"/>
      <c r="AY12" s="362"/>
      <c r="AZ12" s="362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</row>
    <row r="13" spans="1:68" ht="20.25" customHeight="1">
      <c r="A13" s="100">
        <v>11</v>
      </c>
      <c r="B13" s="100" t="s">
        <v>34</v>
      </c>
      <c r="C13" s="100" t="s">
        <v>1913</v>
      </c>
      <c r="D13" s="102" t="s">
        <v>106</v>
      </c>
      <c r="E13" s="100" t="str">
        <f t="shared" si="0"/>
        <v>Sama</v>
      </c>
      <c r="F13" s="63">
        <f t="shared" si="3"/>
        <v>7</v>
      </c>
      <c r="G13" s="63">
        <v>7</v>
      </c>
      <c r="H13" s="64" t="s">
        <v>34</v>
      </c>
      <c r="I13" s="64" t="s">
        <v>106</v>
      </c>
      <c r="J13" s="66">
        <v>9300.088891497624</v>
      </c>
      <c r="K13" s="533" t="s">
        <v>104</v>
      </c>
      <c r="L13" s="68">
        <f t="shared" si="16"/>
        <v>4508.17</v>
      </c>
      <c r="M13" s="63"/>
      <c r="N13" s="365">
        <f t="shared" si="4"/>
        <v>2013</v>
      </c>
      <c r="O13" s="531" t="s">
        <v>1101</v>
      </c>
      <c r="P13" s="68">
        <v>4508.17</v>
      </c>
      <c r="Q13" s="68">
        <v>0</v>
      </c>
      <c r="R13" s="68">
        <v>4508.17</v>
      </c>
      <c r="S13" s="68">
        <f t="shared" si="5"/>
        <v>4508.17</v>
      </c>
      <c r="T13" s="63"/>
      <c r="U13" s="347"/>
      <c r="V13" s="370">
        <v>9300.08</v>
      </c>
      <c r="W13" s="370">
        <v>0</v>
      </c>
      <c r="X13" s="370">
        <v>9300.08</v>
      </c>
      <c r="Y13" s="68">
        <f t="shared" si="6"/>
        <v>9300.08</v>
      </c>
      <c r="Z13" s="345"/>
      <c r="AA13" s="535" t="s">
        <v>1102</v>
      </c>
      <c r="AB13" s="345"/>
      <c r="AC13" s="345"/>
      <c r="AD13" s="345"/>
      <c r="AE13" s="68">
        <f t="shared" si="7"/>
        <v>0</v>
      </c>
      <c r="AF13" s="366">
        <v>2023</v>
      </c>
      <c r="AG13" s="358" t="s">
        <v>1090</v>
      </c>
      <c r="AH13" s="359"/>
      <c r="AI13" s="360"/>
      <c r="AJ13" s="360"/>
      <c r="AK13" s="360" t="str">
        <f t="shared" si="8"/>
        <v/>
      </c>
      <c r="AL13" s="18"/>
      <c r="AM13" s="360" t="str">
        <f t="shared" si="9"/>
        <v>2</v>
      </c>
      <c r="AN13" s="360" t="str">
        <f t="shared" si="10"/>
        <v>1</v>
      </c>
      <c r="AO13" s="360">
        <v>2</v>
      </c>
      <c r="AP13" s="346" t="str">
        <f t="shared" si="11"/>
        <v>1</v>
      </c>
      <c r="AQ13" s="360" t="str">
        <f t="shared" si="12"/>
        <v>2.1.2.1</v>
      </c>
      <c r="AR13" s="530"/>
      <c r="AS13" s="360"/>
      <c r="AT13" s="362"/>
      <c r="AU13" s="362"/>
      <c r="AV13" s="362"/>
      <c r="AW13" s="362"/>
      <c r="AX13" s="362"/>
      <c r="AY13" s="362"/>
      <c r="AZ13" s="362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</row>
    <row r="14" spans="1:68" ht="20.25" customHeight="1">
      <c r="A14" s="100">
        <v>11</v>
      </c>
      <c r="B14" s="100" t="s">
        <v>34</v>
      </c>
      <c r="C14" s="363">
        <v>45027</v>
      </c>
      <c r="D14" s="102" t="s">
        <v>108</v>
      </c>
      <c r="E14" s="100" t="str">
        <f t="shared" si="0"/>
        <v>Sama</v>
      </c>
      <c r="F14" s="63">
        <f t="shared" si="3"/>
        <v>8</v>
      </c>
      <c r="G14" s="63">
        <v>8</v>
      </c>
      <c r="H14" s="64" t="s">
        <v>34</v>
      </c>
      <c r="I14" s="64" t="s">
        <v>108</v>
      </c>
      <c r="J14" s="66">
        <v>4105.8639298608623</v>
      </c>
      <c r="K14" s="533" t="s">
        <v>104</v>
      </c>
      <c r="L14" s="68">
        <f t="shared" si="16"/>
        <v>3847.26</v>
      </c>
      <c r="M14" s="63"/>
      <c r="N14" s="365">
        <f t="shared" si="4"/>
        <v>2016</v>
      </c>
      <c r="O14" s="531" t="s">
        <v>1104</v>
      </c>
      <c r="P14" s="68">
        <v>3847.26</v>
      </c>
      <c r="Q14" s="68">
        <v>0</v>
      </c>
      <c r="R14" s="68">
        <v>3847.26</v>
      </c>
      <c r="S14" s="68">
        <f t="shared" si="5"/>
        <v>3847.26</v>
      </c>
      <c r="T14" s="63"/>
      <c r="U14" s="347"/>
      <c r="V14" s="370"/>
      <c r="W14" s="370"/>
      <c r="X14" s="370"/>
      <c r="Y14" s="68">
        <f t="shared" si="6"/>
        <v>0</v>
      </c>
      <c r="Z14" s="345"/>
      <c r="AA14" s="347"/>
      <c r="AB14" s="345"/>
      <c r="AC14" s="345"/>
      <c r="AD14" s="345"/>
      <c r="AE14" s="68">
        <f t="shared" si="7"/>
        <v>0</v>
      </c>
      <c r="AF14" s="366" t="s">
        <v>1097</v>
      </c>
      <c r="AG14" s="358"/>
      <c r="AH14" s="359"/>
      <c r="AI14" s="360"/>
      <c r="AJ14" s="360"/>
      <c r="AK14" s="360" t="str">
        <f t="shared" si="8"/>
        <v/>
      </c>
      <c r="AL14" s="18"/>
      <c r="AM14" s="360" t="str">
        <f t="shared" si="9"/>
        <v>2</v>
      </c>
      <c r="AN14" s="360" t="str">
        <f t="shared" si="10"/>
        <v>1</v>
      </c>
      <c r="AO14" s="360">
        <v>2</v>
      </c>
      <c r="AP14" s="346" t="str">
        <f t="shared" si="11"/>
        <v>2</v>
      </c>
      <c r="AQ14" s="360" t="str">
        <f t="shared" si="12"/>
        <v>2.1.2.2</v>
      </c>
      <c r="AR14" s="530"/>
      <c r="AS14" s="360"/>
      <c r="AT14" s="362"/>
      <c r="AU14" s="362"/>
      <c r="AV14" s="362"/>
      <c r="AW14" s="362"/>
      <c r="AX14" s="362"/>
      <c r="AY14" s="362"/>
      <c r="AZ14" s="362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</row>
    <row r="15" spans="1:68" ht="20.25" customHeight="1">
      <c r="A15" s="100">
        <v>11</v>
      </c>
      <c r="B15" s="100" t="s">
        <v>34</v>
      </c>
      <c r="C15" s="363">
        <v>44968</v>
      </c>
      <c r="D15" s="102" t="s">
        <v>109</v>
      </c>
      <c r="E15" s="100" t="str">
        <f t="shared" si="0"/>
        <v>Sama</v>
      </c>
      <c r="F15" s="63">
        <f t="shared" si="3"/>
        <v>9</v>
      </c>
      <c r="G15" s="63">
        <v>9</v>
      </c>
      <c r="H15" s="64" t="s">
        <v>34</v>
      </c>
      <c r="I15" s="64" t="s">
        <v>109</v>
      </c>
      <c r="J15" s="66">
        <v>8779.5534830513752</v>
      </c>
      <c r="K15" s="533" t="s">
        <v>123</v>
      </c>
      <c r="L15" s="68">
        <f t="shared" si="16"/>
        <v>0</v>
      </c>
      <c r="M15" s="63"/>
      <c r="N15" s="365">
        <f t="shared" si="4"/>
        <v>2013</v>
      </c>
      <c r="O15" s="531" t="s">
        <v>1075</v>
      </c>
      <c r="P15" s="68"/>
      <c r="Q15" s="68"/>
      <c r="R15" s="68"/>
      <c r="S15" s="68">
        <f t="shared" si="5"/>
        <v>0</v>
      </c>
      <c r="T15" s="63"/>
      <c r="U15" s="347"/>
      <c r="V15" s="370"/>
      <c r="W15" s="370"/>
      <c r="X15" s="370"/>
      <c r="Y15" s="68">
        <f t="shared" si="6"/>
        <v>0</v>
      </c>
      <c r="Z15" s="345"/>
      <c r="AA15" s="347"/>
      <c r="AB15" s="345"/>
      <c r="AC15" s="345"/>
      <c r="AD15" s="345"/>
      <c r="AE15" s="68">
        <f t="shared" si="7"/>
        <v>0</v>
      </c>
      <c r="AF15" s="366">
        <v>2023</v>
      </c>
      <c r="AG15" s="358" t="s">
        <v>1090</v>
      </c>
      <c r="AH15" s="359"/>
      <c r="AI15" s="360"/>
      <c r="AJ15" s="360"/>
      <c r="AK15" s="360" t="str">
        <f t="shared" si="8"/>
        <v/>
      </c>
      <c r="AL15" s="18"/>
      <c r="AM15" s="360" t="str">
        <f t="shared" si="9"/>
        <v>2</v>
      </c>
      <c r="AN15" s="360" t="str">
        <f t="shared" si="10"/>
        <v>2</v>
      </c>
      <c r="AO15" s="360">
        <v>2</v>
      </c>
      <c r="AP15" s="346" t="str">
        <f t="shared" si="11"/>
        <v>2</v>
      </c>
      <c r="AQ15" s="360" t="str">
        <f t="shared" si="12"/>
        <v>2.2.2.2</v>
      </c>
      <c r="AR15" s="530"/>
      <c r="AS15" s="360"/>
      <c r="AT15" s="362"/>
      <c r="AU15" s="362"/>
      <c r="AV15" s="362"/>
      <c r="AW15" s="362"/>
      <c r="AX15" s="362"/>
      <c r="AY15" s="362"/>
      <c r="AZ15" s="362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</row>
    <row r="16" spans="1:68" ht="20.25" customHeight="1">
      <c r="A16" s="100">
        <v>11</v>
      </c>
      <c r="B16" s="100" t="s">
        <v>34</v>
      </c>
      <c r="C16" s="363">
        <v>44996</v>
      </c>
      <c r="D16" s="102" t="s">
        <v>111</v>
      </c>
      <c r="E16" s="100" t="str">
        <f t="shared" si="0"/>
        <v>Sama</v>
      </c>
      <c r="F16" s="63">
        <f t="shared" si="3"/>
        <v>10</v>
      </c>
      <c r="G16" s="63">
        <v>10</v>
      </c>
      <c r="H16" s="64" t="s">
        <v>34</v>
      </c>
      <c r="I16" s="64" t="s">
        <v>111</v>
      </c>
      <c r="J16" s="66">
        <v>19509.322020917971</v>
      </c>
      <c r="K16" s="533" t="s">
        <v>91</v>
      </c>
      <c r="L16" s="68">
        <f t="shared" ref="L16:L17" si="17">AE16</f>
        <v>24023.49</v>
      </c>
      <c r="M16" s="63"/>
      <c r="N16" s="365">
        <f t="shared" si="4"/>
        <v>2013</v>
      </c>
      <c r="O16" s="531" t="s">
        <v>1107</v>
      </c>
      <c r="P16" s="68">
        <v>14853.28</v>
      </c>
      <c r="Q16" s="68">
        <v>0</v>
      </c>
      <c r="R16" s="68">
        <v>14853.28</v>
      </c>
      <c r="S16" s="68">
        <f t="shared" si="5"/>
        <v>14853.28</v>
      </c>
      <c r="T16" s="63"/>
      <c r="U16" s="347"/>
      <c r="V16" s="370"/>
      <c r="W16" s="370"/>
      <c r="X16" s="370"/>
      <c r="Y16" s="68">
        <f t="shared" si="6"/>
        <v>0</v>
      </c>
      <c r="Z16" s="345" t="s">
        <v>1076</v>
      </c>
      <c r="AA16" s="531" t="s">
        <v>1108</v>
      </c>
      <c r="AB16" s="373">
        <v>20196.150000000001</v>
      </c>
      <c r="AC16" s="374">
        <v>3867.84</v>
      </c>
      <c r="AD16" s="345">
        <v>24023.49</v>
      </c>
      <c r="AE16" s="68">
        <f t="shared" si="7"/>
        <v>24023.49</v>
      </c>
      <c r="AF16" s="364">
        <v>2022</v>
      </c>
      <c r="AG16" s="344"/>
      <c r="AH16" s="84"/>
      <c r="AI16" s="63" t="s">
        <v>1077</v>
      </c>
      <c r="AJ16" s="63"/>
      <c r="AK16" s="63" t="str">
        <f t="shared" si="8"/>
        <v>V</v>
      </c>
      <c r="AL16" s="47"/>
      <c r="AM16" s="63" t="str">
        <f t="shared" si="9"/>
        <v>2</v>
      </c>
      <c r="AN16" s="63" t="str">
        <f t="shared" si="10"/>
        <v>1</v>
      </c>
      <c r="AO16" s="63">
        <v>2</v>
      </c>
      <c r="AP16" s="346" t="str">
        <f t="shared" si="11"/>
        <v>1</v>
      </c>
      <c r="AQ16" s="63" t="str">
        <f t="shared" si="12"/>
        <v>2.1.2.1</v>
      </c>
      <c r="AR16" s="534"/>
      <c r="AS16" s="375" t="s">
        <v>1914</v>
      </c>
      <c r="AT16" s="95">
        <v>19452.98</v>
      </c>
      <c r="AU16" s="95">
        <v>24063.69</v>
      </c>
      <c r="AV16" s="371">
        <f t="shared" ref="AV16:AV17" si="18">AU16/AT16</f>
        <v>1.2370181843604424</v>
      </c>
      <c r="AW16" s="95">
        <v>18096.740000000002</v>
      </c>
      <c r="AX16" s="371">
        <f t="shared" ref="AX16:AX17" si="19">AW16/AT16</f>
        <v>0.93028111888255693</v>
      </c>
      <c r="AY16" s="95">
        <v>1356.24</v>
      </c>
      <c r="AZ16" s="371">
        <f t="shared" ref="AZ16:AZ17" si="20">AY16/AT16</f>
        <v>6.971888111744319E-2</v>
      </c>
      <c r="BA16" s="47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</row>
    <row r="17" spans="1:68" ht="20.25" customHeight="1">
      <c r="A17" s="100">
        <v>11</v>
      </c>
      <c r="B17" s="100" t="s">
        <v>34</v>
      </c>
      <c r="C17" s="363">
        <v>45149</v>
      </c>
      <c r="D17" s="102" t="s">
        <v>113</v>
      </c>
      <c r="E17" s="100" t="str">
        <f t="shared" si="0"/>
        <v>Sama</v>
      </c>
      <c r="F17" s="63">
        <f t="shared" si="3"/>
        <v>11</v>
      </c>
      <c r="G17" s="63">
        <v>11</v>
      </c>
      <c r="H17" s="64" t="s">
        <v>34</v>
      </c>
      <c r="I17" s="64" t="s">
        <v>113</v>
      </c>
      <c r="J17" s="66">
        <v>38413.041647914986</v>
      </c>
      <c r="K17" s="533" t="s">
        <v>91</v>
      </c>
      <c r="L17" s="68">
        <f t="shared" si="17"/>
        <v>39355.47</v>
      </c>
      <c r="M17" s="63"/>
      <c r="N17" s="365">
        <f t="shared" si="4"/>
        <v>2013</v>
      </c>
      <c r="O17" s="531" t="s">
        <v>1110</v>
      </c>
      <c r="P17" s="68">
        <v>36539</v>
      </c>
      <c r="Q17" s="68">
        <v>0</v>
      </c>
      <c r="R17" s="68">
        <v>36539</v>
      </c>
      <c r="S17" s="68">
        <f t="shared" si="5"/>
        <v>36539</v>
      </c>
      <c r="T17" s="63"/>
      <c r="U17" s="347"/>
      <c r="V17" s="370"/>
      <c r="W17" s="370"/>
      <c r="X17" s="370"/>
      <c r="Y17" s="68">
        <f t="shared" si="6"/>
        <v>0</v>
      </c>
      <c r="Z17" s="345" t="s">
        <v>1076</v>
      </c>
      <c r="AA17" s="376" t="s">
        <v>114</v>
      </c>
      <c r="AB17" s="373">
        <f>38858.92+496.55</f>
        <v>39355.47</v>
      </c>
      <c r="AC17" s="374">
        <v>1237.3699999999999</v>
      </c>
      <c r="AD17" s="345"/>
      <c r="AE17" s="68">
        <f t="shared" si="7"/>
        <v>39355.47</v>
      </c>
      <c r="AF17" s="364">
        <v>2022</v>
      </c>
      <c r="AG17" s="344"/>
      <c r="AH17" s="84"/>
      <c r="AI17" s="63"/>
      <c r="AJ17" s="63"/>
      <c r="AK17" s="63" t="str">
        <f t="shared" si="8"/>
        <v>V</v>
      </c>
      <c r="AL17" s="47"/>
      <c r="AM17" s="63" t="str">
        <f t="shared" si="9"/>
        <v>2</v>
      </c>
      <c r="AN17" s="63" t="str">
        <f t="shared" si="10"/>
        <v>1</v>
      </c>
      <c r="AO17" s="63">
        <v>2</v>
      </c>
      <c r="AP17" s="346" t="str">
        <f t="shared" si="11"/>
        <v>1</v>
      </c>
      <c r="AQ17" s="63" t="str">
        <f t="shared" si="12"/>
        <v>2.1.2.1</v>
      </c>
      <c r="AR17" s="534"/>
      <c r="AS17" s="64" t="s">
        <v>114</v>
      </c>
      <c r="AT17" s="95">
        <v>38417.46</v>
      </c>
      <c r="AU17" s="95">
        <v>40592.839999999997</v>
      </c>
      <c r="AV17" s="377">
        <f t="shared" si="18"/>
        <v>1.0566247742562886</v>
      </c>
      <c r="AW17" s="378">
        <v>35788.44</v>
      </c>
      <c r="AX17" s="377">
        <f t="shared" si="19"/>
        <v>0.93156705310554111</v>
      </c>
      <c r="AY17" s="378">
        <v>2823.55</v>
      </c>
      <c r="AZ17" s="377">
        <f t="shared" si="20"/>
        <v>7.3496529963199025E-2</v>
      </c>
      <c r="BA17" s="47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</row>
    <row r="18" spans="1:68" ht="20.25" customHeight="1">
      <c r="A18" s="100">
        <v>11</v>
      </c>
      <c r="B18" s="100" t="s">
        <v>34</v>
      </c>
      <c r="C18" s="100" t="s">
        <v>1915</v>
      </c>
      <c r="D18" s="102" t="s">
        <v>115</v>
      </c>
      <c r="E18" s="100" t="str">
        <f t="shared" si="0"/>
        <v>Sama</v>
      </c>
      <c r="F18" s="63">
        <f t="shared" si="3"/>
        <v>12</v>
      </c>
      <c r="G18" s="63">
        <v>12</v>
      </c>
      <c r="H18" s="64" t="s">
        <v>34</v>
      </c>
      <c r="I18" s="64" t="s">
        <v>115</v>
      </c>
      <c r="J18" s="66">
        <v>940.75715469039005</v>
      </c>
      <c r="K18" s="533" t="s">
        <v>104</v>
      </c>
      <c r="L18" s="68">
        <f t="shared" ref="L18:L26" si="21">IF(S18&gt;0,S18,IF(Y18&gt;0,Y18,IF(AE18&gt;0,AE18,0)))</f>
        <v>3197.5</v>
      </c>
      <c r="M18" s="63"/>
      <c r="N18" s="365">
        <f t="shared" si="4"/>
        <v>2013</v>
      </c>
      <c r="O18" s="531" t="s">
        <v>117</v>
      </c>
      <c r="P18" s="68">
        <v>3197.5</v>
      </c>
      <c r="Q18" s="68">
        <v>0</v>
      </c>
      <c r="R18" s="68">
        <v>3197.5</v>
      </c>
      <c r="S18" s="68">
        <f t="shared" si="5"/>
        <v>3197.5</v>
      </c>
      <c r="T18" s="63"/>
      <c r="U18" s="347"/>
      <c r="V18" s="370"/>
      <c r="W18" s="370"/>
      <c r="X18" s="370"/>
      <c r="Y18" s="68">
        <f t="shared" si="6"/>
        <v>0</v>
      </c>
      <c r="Z18" s="345"/>
      <c r="AA18" s="347"/>
      <c r="AB18" s="345"/>
      <c r="AC18" s="345"/>
      <c r="AD18" s="345"/>
      <c r="AE18" s="68">
        <f t="shared" si="7"/>
        <v>0</v>
      </c>
      <c r="AF18" s="366" t="s">
        <v>1097</v>
      </c>
      <c r="AG18" s="358"/>
      <c r="AH18" s="359"/>
      <c r="AI18" s="360"/>
      <c r="AJ18" s="360" t="s">
        <v>1112</v>
      </c>
      <c r="AK18" s="360" t="str">
        <f t="shared" si="8"/>
        <v/>
      </c>
      <c r="AL18" s="18"/>
      <c r="AM18" s="360" t="str">
        <f t="shared" si="9"/>
        <v>2</v>
      </c>
      <c r="AN18" s="360" t="str">
        <f t="shared" si="10"/>
        <v>1</v>
      </c>
      <c r="AO18" s="360">
        <v>2</v>
      </c>
      <c r="AP18" s="346" t="str">
        <f t="shared" si="11"/>
        <v>2</v>
      </c>
      <c r="AQ18" s="360" t="str">
        <f t="shared" si="12"/>
        <v>2.1.2.2</v>
      </c>
      <c r="AR18" s="530"/>
      <c r="AS18" s="360"/>
      <c r="AT18" s="362"/>
      <c r="AU18" s="362"/>
      <c r="AV18" s="362"/>
      <c r="AW18" s="362"/>
      <c r="AX18" s="362"/>
      <c r="AY18" s="362"/>
      <c r="AZ18" s="362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</row>
    <row r="19" spans="1:68" ht="20.25" customHeight="1">
      <c r="A19" s="100">
        <v>11</v>
      </c>
      <c r="B19" s="100" t="s">
        <v>34</v>
      </c>
      <c r="C19" s="369">
        <v>45241</v>
      </c>
      <c r="D19" s="102" t="s">
        <v>118</v>
      </c>
      <c r="E19" s="100" t="str">
        <f t="shared" si="0"/>
        <v>Sama</v>
      </c>
      <c r="F19" s="63">
        <f t="shared" si="3"/>
        <v>13</v>
      </c>
      <c r="G19" s="63">
        <v>13</v>
      </c>
      <c r="H19" s="64" t="s">
        <v>34</v>
      </c>
      <c r="I19" s="64" t="s">
        <v>118</v>
      </c>
      <c r="J19" s="66">
        <v>14929.554070471704</v>
      </c>
      <c r="K19" s="533" t="s">
        <v>91</v>
      </c>
      <c r="L19" s="68">
        <f t="shared" si="21"/>
        <v>15113.970000000001</v>
      </c>
      <c r="M19" s="63"/>
      <c r="N19" s="365">
        <f t="shared" si="4"/>
        <v>2013</v>
      </c>
      <c r="O19" s="531" t="s">
        <v>1114</v>
      </c>
      <c r="P19" s="68"/>
      <c r="Q19" s="68"/>
      <c r="R19" s="68"/>
      <c r="S19" s="68">
        <f t="shared" si="5"/>
        <v>0</v>
      </c>
      <c r="T19" s="63"/>
      <c r="U19" s="347"/>
      <c r="V19" s="370"/>
      <c r="W19" s="370"/>
      <c r="X19" s="370"/>
      <c r="Y19" s="68">
        <f t="shared" si="6"/>
        <v>0</v>
      </c>
      <c r="Z19" s="345" t="s">
        <v>1076</v>
      </c>
      <c r="AA19" s="536" t="s">
        <v>1115</v>
      </c>
      <c r="AB19" s="373">
        <f>15006.7+107.27</f>
        <v>15113.970000000001</v>
      </c>
      <c r="AC19" s="374">
        <v>2187.75</v>
      </c>
      <c r="AD19" s="345"/>
      <c r="AE19" s="68">
        <f t="shared" si="7"/>
        <v>15113.970000000001</v>
      </c>
      <c r="AF19" s="364">
        <v>2022</v>
      </c>
      <c r="AG19" s="344"/>
      <c r="AH19" s="84"/>
      <c r="AI19" s="63"/>
      <c r="AJ19" s="63"/>
      <c r="AK19" s="63" t="str">
        <f t="shared" si="8"/>
        <v>V</v>
      </c>
      <c r="AL19" s="47"/>
      <c r="AM19" s="63" t="str">
        <f t="shared" si="9"/>
        <v>2</v>
      </c>
      <c r="AN19" s="63" t="str">
        <f t="shared" si="10"/>
        <v>2</v>
      </c>
      <c r="AO19" s="63" t="s">
        <v>1082</v>
      </c>
      <c r="AP19" s="346" t="str">
        <f t="shared" si="11"/>
        <v>1</v>
      </c>
      <c r="AQ19" s="63" t="str">
        <f t="shared" si="12"/>
        <v>2.2.1b.1</v>
      </c>
      <c r="AR19" s="534"/>
      <c r="AS19" s="64" t="s">
        <v>1115</v>
      </c>
      <c r="AT19" s="95">
        <v>14943.57</v>
      </c>
      <c r="AU19" s="95">
        <v>17301.72</v>
      </c>
      <c r="AV19" s="377">
        <f>AU19/AT19</f>
        <v>1.1578036573589845</v>
      </c>
      <c r="AW19" s="378">
        <v>13425.09</v>
      </c>
      <c r="AX19" s="377">
        <f>AW19/AT19</f>
        <v>0.89838572710537046</v>
      </c>
      <c r="AY19" s="378">
        <v>1518.47</v>
      </c>
      <c r="AZ19" s="377">
        <f>AY19/AT19</f>
        <v>0.1016136037104922</v>
      </c>
      <c r="BA19" s="47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</row>
    <row r="20" spans="1:68" ht="20.25" customHeight="1">
      <c r="A20" s="100">
        <v>11</v>
      </c>
      <c r="B20" s="100" t="s">
        <v>34</v>
      </c>
      <c r="C20" s="100" t="s">
        <v>1916</v>
      </c>
      <c r="D20" s="102" t="s">
        <v>120</v>
      </c>
      <c r="E20" s="100" t="str">
        <f t="shared" si="0"/>
        <v>Sama</v>
      </c>
      <c r="F20" s="63">
        <f t="shared" si="3"/>
        <v>14</v>
      </c>
      <c r="G20" s="63">
        <v>14</v>
      </c>
      <c r="H20" s="64" t="s">
        <v>34</v>
      </c>
      <c r="I20" s="64" t="s">
        <v>120</v>
      </c>
      <c r="J20" s="66">
        <v>4855.1431793968031</v>
      </c>
      <c r="K20" s="533" t="s">
        <v>104</v>
      </c>
      <c r="L20" s="68">
        <f t="shared" si="21"/>
        <v>4439</v>
      </c>
      <c r="M20" s="63"/>
      <c r="N20" s="365">
        <f t="shared" si="4"/>
        <v>2013</v>
      </c>
      <c r="O20" s="531" t="s">
        <v>1117</v>
      </c>
      <c r="P20" s="68"/>
      <c r="Q20" s="68"/>
      <c r="R20" s="68"/>
      <c r="S20" s="68">
        <f t="shared" si="5"/>
        <v>0</v>
      </c>
      <c r="T20" s="63"/>
      <c r="U20" s="347"/>
      <c r="V20" s="64">
        <v>4439</v>
      </c>
      <c r="W20" s="64"/>
      <c r="X20" s="64"/>
      <c r="Y20" s="68">
        <f t="shared" si="6"/>
        <v>4439</v>
      </c>
      <c r="Z20" s="345"/>
      <c r="AA20" s="531" t="s">
        <v>121</v>
      </c>
      <c r="AB20" s="345">
        <v>4438.5</v>
      </c>
      <c r="AC20" s="345">
        <v>0</v>
      </c>
      <c r="AD20" s="345">
        <v>4438.5</v>
      </c>
      <c r="AE20" s="68">
        <f t="shared" si="7"/>
        <v>4438.5</v>
      </c>
      <c r="AF20" s="366" t="s">
        <v>1097</v>
      </c>
      <c r="AG20" s="358"/>
      <c r="AH20" s="359"/>
      <c r="AI20" s="360" t="s">
        <v>1098</v>
      </c>
      <c r="AJ20" s="360"/>
      <c r="AK20" s="360" t="str">
        <f t="shared" si="8"/>
        <v/>
      </c>
      <c r="AL20" s="18"/>
      <c r="AM20" s="360" t="str">
        <f t="shared" si="9"/>
        <v>2</v>
      </c>
      <c r="AN20" s="360" t="str">
        <f t="shared" si="10"/>
        <v>2</v>
      </c>
      <c r="AO20" s="360">
        <v>2</v>
      </c>
      <c r="AP20" s="346" t="str">
        <f t="shared" si="11"/>
        <v>1</v>
      </c>
      <c r="AQ20" s="360" t="str">
        <f t="shared" si="12"/>
        <v>2.2.2.1</v>
      </c>
      <c r="AR20" s="530"/>
      <c r="AS20" s="360"/>
      <c r="AT20" s="362"/>
      <c r="AU20" s="362"/>
      <c r="AV20" s="362"/>
      <c r="AW20" s="362"/>
      <c r="AX20" s="362"/>
      <c r="AY20" s="362"/>
      <c r="AZ20" s="362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</row>
    <row r="21" spans="1:68" ht="20.25" customHeight="1">
      <c r="A21" s="100">
        <v>11</v>
      </c>
      <c r="B21" s="100" t="s">
        <v>34</v>
      </c>
      <c r="C21" s="100" t="s">
        <v>1917</v>
      </c>
      <c r="D21" s="102" t="s">
        <v>122</v>
      </c>
      <c r="E21" s="100" t="str">
        <f t="shared" si="0"/>
        <v>Sama</v>
      </c>
      <c r="F21" s="63">
        <f t="shared" si="3"/>
        <v>15</v>
      </c>
      <c r="G21" s="63">
        <v>15</v>
      </c>
      <c r="H21" s="64" t="s">
        <v>34</v>
      </c>
      <c r="I21" s="64" t="s">
        <v>122</v>
      </c>
      <c r="J21" s="66">
        <v>58.377182690578763</v>
      </c>
      <c r="K21" s="533" t="s">
        <v>123</v>
      </c>
      <c r="L21" s="68">
        <f t="shared" si="21"/>
        <v>0</v>
      </c>
      <c r="M21" s="63"/>
      <c r="N21" s="365">
        <f t="shared" si="4"/>
        <v>2018</v>
      </c>
      <c r="O21" s="531" t="s">
        <v>124</v>
      </c>
      <c r="P21" s="68"/>
      <c r="Q21" s="68"/>
      <c r="R21" s="68"/>
      <c r="S21" s="68">
        <f t="shared" si="5"/>
        <v>0</v>
      </c>
      <c r="T21" s="63"/>
      <c r="U21" s="347"/>
      <c r="V21" s="370"/>
      <c r="W21" s="370"/>
      <c r="X21" s="370"/>
      <c r="Y21" s="68">
        <f t="shared" si="6"/>
        <v>0</v>
      </c>
      <c r="Z21" s="345"/>
      <c r="AA21" s="347"/>
      <c r="AB21" s="345"/>
      <c r="AC21" s="345"/>
      <c r="AD21" s="345"/>
      <c r="AE21" s="68">
        <f t="shared" si="7"/>
        <v>0</v>
      </c>
      <c r="AF21" s="366" t="s">
        <v>1097</v>
      </c>
      <c r="AG21" s="358"/>
      <c r="AH21" s="359"/>
      <c r="AI21" s="360"/>
      <c r="AJ21" s="360"/>
      <c r="AK21" s="360" t="str">
        <f t="shared" si="8"/>
        <v/>
      </c>
      <c r="AL21" s="18"/>
      <c r="AM21" s="360" t="str">
        <f t="shared" si="9"/>
        <v>2</v>
      </c>
      <c r="AN21" s="360" t="str">
        <f t="shared" si="10"/>
        <v>2</v>
      </c>
      <c r="AO21" s="360">
        <v>2</v>
      </c>
      <c r="AP21" s="346" t="str">
        <f t="shared" si="11"/>
        <v>2</v>
      </c>
      <c r="AQ21" s="360" t="str">
        <f t="shared" si="12"/>
        <v>2.2.2.2</v>
      </c>
      <c r="AR21" s="530"/>
      <c r="AS21" s="360"/>
      <c r="AT21" s="362"/>
      <c r="AU21" s="362"/>
      <c r="AV21" s="362"/>
      <c r="AW21" s="362"/>
      <c r="AX21" s="362"/>
      <c r="AY21" s="362"/>
      <c r="AZ21" s="362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</row>
    <row r="22" spans="1:68" ht="20.25" customHeight="1">
      <c r="A22" s="100">
        <v>11</v>
      </c>
      <c r="B22" s="100" t="s">
        <v>34</v>
      </c>
      <c r="C22" s="100" t="s">
        <v>1918</v>
      </c>
      <c r="D22" s="102" t="s">
        <v>125</v>
      </c>
      <c r="E22" s="100" t="str">
        <f t="shared" si="0"/>
        <v>Sama</v>
      </c>
      <c r="F22" s="63">
        <f t="shared" si="3"/>
        <v>16</v>
      </c>
      <c r="G22" s="63">
        <v>16</v>
      </c>
      <c r="H22" s="64" t="s">
        <v>34</v>
      </c>
      <c r="I22" s="64" t="s">
        <v>125</v>
      </c>
      <c r="J22" s="66">
        <v>1083.8856710725488</v>
      </c>
      <c r="K22" s="533" t="s">
        <v>91</v>
      </c>
      <c r="L22" s="68">
        <f t="shared" si="21"/>
        <v>990.58</v>
      </c>
      <c r="M22" s="63"/>
      <c r="N22" s="365">
        <f t="shared" si="4"/>
        <v>2013</v>
      </c>
      <c r="O22" s="531" t="s">
        <v>1120</v>
      </c>
      <c r="P22" s="68"/>
      <c r="Q22" s="68"/>
      <c r="R22" s="68"/>
      <c r="S22" s="68">
        <f t="shared" si="5"/>
        <v>0</v>
      </c>
      <c r="T22" s="63" t="s">
        <v>1076</v>
      </c>
      <c r="U22" s="531" t="s">
        <v>127</v>
      </c>
      <c r="V22" s="370">
        <v>990.58</v>
      </c>
      <c r="W22" s="370">
        <v>0</v>
      </c>
      <c r="X22" s="370">
        <v>990.58</v>
      </c>
      <c r="Y22" s="68">
        <f t="shared" si="6"/>
        <v>990.58</v>
      </c>
      <c r="Z22" s="345"/>
      <c r="AA22" s="347"/>
      <c r="AB22" s="345"/>
      <c r="AC22" s="345"/>
      <c r="AD22" s="345"/>
      <c r="AE22" s="68">
        <f t="shared" si="7"/>
        <v>0</v>
      </c>
      <c r="AF22" s="366" t="s">
        <v>1097</v>
      </c>
      <c r="AG22" s="358"/>
      <c r="AH22" s="359"/>
      <c r="AI22" s="360" t="s">
        <v>1077</v>
      </c>
      <c r="AJ22" s="360"/>
      <c r="AK22" s="360" t="str">
        <f t="shared" si="8"/>
        <v>V</v>
      </c>
      <c r="AL22" s="18"/>
      <c r="AM22" s="360" t="str">
        <f t="shared" si="9"/>
        <v>2</v>
      </c>
      <c r="AN22" s="360" t="str">
        <f t="shared" si="10"/>
        <v>2</v>
      </c>
      <c r="AO22" s="360">
        <v>2</v>
      </c>
      <c r="AP22" s="346" t="str">
        <f t="shared" si="11"/>
        <v>1</v>
      </c>
      <c r="AQ22" s="360" t="str">
        <f t="shared" si="12"/>
        <v>2.2.2.1</v>
      </c>
      <c r="AR22" s="530"/>
      <c r="AS22" s="362" t="s">
        <v>1919</v>
      </c>
      <c r="AT22" s="367">
        <v>1084</v>
      </c>
      <c r="AU22" s="362">
        <v>991</v>
      </c>
      <c r="AV22" s="368">
        <f>AU22/AT22</f>
        <v>0.91420664206642066</v>
      </c>
      <c r="AW22" s="362">
        <v>897</v>
      </c>
      <c r="AX22" s="368">
        <f>AW22/AT22</f>
        <v>0.82749077490774903</v>
      </c>
      <c r="AY22" s="362">
        <v>186</v>
      </c>
      <c r="AZ22" s="368">
        <f>AY22/AT22</f>
        <v>0.17158671586715868</v>
      </c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</row>
    <row r="23" spans="1:68" ht="20.25" customHeight="1">
      <c r="A23" s="100">
        <v>11</v>
      </c>
      <c r="B23" s="100" t="s">
        <v>34</v>
      </c>
      <c r="C23" s="100" t="s">
        <v>1920</v>
      </c>
      <c r="D23" s="102" t="s">
        <v>128</v>
      </c>
      <c r="E23" s="100" t="str">
        <f t="shared" si="0"/>
        <v>Sama</v>
      </c>
      <c r="F23" s="63">
        <f t="shared" si="3"/>
        <v>17</v>
      </c>
      <c r="G23" s="63">
        <v>17</v>
      </c>
      <c r="H23" s="64" t="s">
        <v>34</v>
      </c>
      <c r="I23" s="64" t="s">
        <v>128</v>
      </c>
      <c r="J23" s="66">
        <v>1068.482504323114</v>
      </c>
      <c r="K23" s="533" t="s">
        <v>123</v>
      </c>
      <c r="L23" s="68">
        <f t="shared" si="21"/>
        <v>0</v>
      </c>
      <c r="M23" s="63"/>
      <c r="N23" s="365">
        <f t="shared" si="4"/>
        <v>2014</v>
      </c>
      <c r="O23" s="531" t="s">
        <v>1122</v>
      </c>
      <c r="P23" s="68"/>
      <c r="Q23" s="68"/>
      <c r="R23" s="68"/>
      <c r="S23" s="68">
        <f t="shared" si="5"/>
        <v>0</v>
      </c>
      <c r="T23" s="63"/>
      <c r="U23" s="537" t="s">
        <v>1123</v>
      </c>
      <c r="V23" s="370"/>
      <c r="W23" s="370"/>
      <c r="X23" s="370"/>
      <c r="Y23" s="68">
        <f t="shared" si="6"/>
        <v>0</v>
      </c>
      <c r="Z23" s="345"/>
      <c r="AA23" s="347"/>
      <c r="AB23" s="345"/>
      <c r="AC23" s="345"/>
      <c r="AD23" s="345"/>
      <c r="AE23" s="68">
        <f t="shared" si="7"/>
        <v>0</v>
      </c>
      <c r="AF23" s="366" t="s">
        <v>1097</v>
      </c>
      <c r="AG23" s="358"/>
      <c r="AH23" s="359"/>
      <c r="AI23" s="360"/>
      <c r="AJ23" s="360" t="s">
        <v>1124</v>
      </c>
      <c r="AK23" s="360" t="str">
        <f t="shared" si="8"/>
        <v/>
      </c>
      <c r="AL23" s="18"/>
      <c r="AM23" s="360" t="str">
        <f t="shared" si="9"/>
        <v>2</v>
      </c>
      <c r="AN23" s="360" t="str">
        <f t="shared" si="10"/>
        <v>2</v>
      </c>
      <c r="AO23" s="360">
        <v>2</v>
      </c>
      <c r="AP23" s="346" t="str">
        <f t="shared" si="11"/>
        <v>2</v>
      </c>
      <c r="AQ23" s="360" t="str">
        <f t="shared" si="12"/>
        <v>2.2.2.2</v>
      </c>
      <c r="AR23" s="530"/>
      <c r="AS23" s="360"/>
      <c r="AT23" s="362"/>
      <c r="AU23" s="362"/>
      <c r="AV23" s="362"/>
      <c r="AW23" s="362"/>
      <c r="AX23" s="362"/>
      <c r="AY23" s="362"/>
      <c r="AZ23" s="362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</row>
    <row r="24" spans="1:68" ht="20.25" customHeight="1">
      <c r="A24" s="100">
        <v>11</v>
      </c>
      <c r="B24" s="100" t="s">
        <v>34</v>
      </c>
      <c r="C24" s="100" t="s">
        <v>1921</v>
      </c>
      <c r="D24" s="102" t="s">
        <v>130</v>
      </c>
      <c r="E24" s="100" t="str">
        <f t="shared" si="0"/>
        <v>Sama</v>
      </c>
      <c r="F24" s="63">
        <f t="shared" si="3"/>
        <v>18</v>
      </c>
      <c r="G24" s="63">
        <v>18</v>
      </c>
      <c r="H24" s="64" t="s">
        <v>34</v>
      </c>
      <c r="I24" s="64" t="s">
        <v>130</v>
      </c>
      <c r="J24" s="66">
        <v>0</v>
      </c>
      <c r="K24" s="533" t="s">
        <v>123</v>
      </c>
      <c r="L24" s="68">
        <f t="shared" si="21"/>
        <v>0</v>
      </c>
      <c r="M24" s="63"/>
      <c r="N24" s="365">
        <f t="shared" si="4"/>
        <v>2012</v>
      </c>
      <c r="O24" s="531" t="s">
        <v>131</v>
      </c>
      <c r="P24" s="68"/>
      <c r="Q24" s="68"/>
      <c r="R24" s="68"/>
      <c r="S24" s="68">
        <f t="shared" si="5"/>
        <v>0</v>
      </c>
      <c r="T24" s="63"/>
      <c r="U24" s="347"/>
      <c r="V24" s="370"/>
      <c r="W24" s="370"/>
      <c r="X24" s="370"/>
      <c r="Y24" s="68">
        <f t="shared" si="6"/>
        <v>0</v>
      </c>
      <c r="Z24" s="345"/>
      <c r="AA24" s="347"/>
      <c r="AB24" s="345"/>
      <c r="AC24" s="345"/>
      <c r="AD24" s="345"/>
      <c r="AE24" s="68">
        <f t="shared" si="7"/>
        <v>0</v>
      </c>
      <c r="AF24" s="366" t="s">
        <v>1097</v>
      </c>
      <c r="AG24" s="358"/>
      <c r="AH24" s="359"/>
      <c r="AI24" s="360"/>
      <c r="AJ24" s="360"/>
      <c r="AK24" s="360" t="str">
        <f t="shared" si="8"/>
        <v/>
      </c>
      <c r="AL24" s="18"/>
      <c r="AM24" s="360" t="str">
        <f t="shared" si="9"/>
        <v>2</v>
      </c>
      <c r="AN24" s="360" t="str">
        <f t="shared" si="10"/>
        <v>2</v>
      </c>
      <c r="AO24" s="360">
        <v>2</v>
      </c>
      <c r="AP24" s="346" t="str">
        <f t="shared" si="11"/>
        <v>2</v>
      </c>
      <c r="AQ24" s="360" t="str">
        <f t="shared" si="12"/>
        <v>2.2.2.2</v>
      </c>
      <c r="AR24" s="530"/>
      <c r="AS24" s="360"/>
      <c r="AT24" s="362"/>
      <c r="AU24" s="362"/>
      <c r="AV24" s="362"/>
      <c r="AW24" s="362"/>
      <c r="AX24" s="362"/>
      <c r="AY24" s="362"/>
      <c r="AZ24" s="362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</row>
    <row r="25" spans="1:68" ht="20.25" customHeight="1">
      <c r="A25" s="100">
        <v>11</v>
      </c>
      <c r="B25" s="100" t="s">
        <v>34</v>
      </c>
      <c r="C25" s="100" t="s">
        <v>1922</v>
      </c>
      <c r="D25" s="102" t="s">
        <v>132</v>
      </c>
      <c r="E25" s="100" t="str">
        <f t="shared" si="0"/>
        <v>Sama</v>
      </c>
      <c r="F25" s="63">
        <f t="shared" si="3"/>
        <v>19</v>
      </c>
      <c r="G25" s="63">
        <v>19</v>
      </c>
      <c r="H25" s="64" t="s">
        <v>34</v>
      </c>
      <c r="I25" s="64" t="s">
        <v>132</v>
      </c>
      <c r="J25" s="66">
        <v>1855.5285676533017</v>
      </c>
      <c r="K25" s="533" t="s">
        <v>104</v>
      </c>
      <c r="L25" s="68">
        <f t="shared" si="21"/>
        <v>755.46</v>
      </c>
      <c r="M25" s="63"/>
      <c r="N25" s="365">
        <f t="shared" si="4"/>
        <v>2014</v>
      </c>
      <c r="O25" s="531" t="s">
        <v>133</v>
      </c>
      <c r="P25" s="68">
        <v>755.46</v>
      </c>
      <c r="Q25" s="68">
        <v>0</v>
      </c>
      <c r="R25" s="68">
        <v>755.46</v>
      </c>
      <c r="S25" s="68">
        <f t="shared" si="5"/>
        <v>755.46</v>
      </c>
      <c r="T25" s="63"/>
      <c r="U25" s="347"/>
      <c r="V25" s="370"/>
      <c r="W25" s="370"/>
      <c r="X25" s="370"/>
      <c r="Y25" s="68">
        <f t="shared" si="6"/>
        <v>0</v>
      </c>
      <c r="Z25" s="345"/>
      <c r="AA25" s="347"/>
      <c r="AB25" s="345"/>
      <c r="AC25" s="345"/>
      <c r="AD25" s="345"/>
      <c r="AE25" s="68">
        <f t="shared" si="7"/>
        <v>0</v>
      </c>
      <c r="AF25" s="366" t="s">
        <v>1097</v>
      </c>
      <c r="AG25" s="358"/>
      <c r="AH25" s="359"/>
      <c r="AI25" s="360"/>
      <c r="AJ25" s="360"/>
      <c r="AK25" s="360" t="str">
        <f t="shared" si="8"/>
        <v/>
      </c>
      <c r="AL25" s="18"/>
      <c r="AM25" s="360" t="str">
        <f t="shared" si="9"/>
        <v>2</v>
      </c>
      <c r="AN25" s="360" t="str">
        <f t="shared" si="10"/>
        <v>1</v>
      </c>
      <c r="AO25" s="360">
        <v>2</v>
      </c>
      <c r="AP25" s="346" t="str">
        <f t="shared" si="11"/>
        <v>2</v>
      </c>
      <c r="AQ25" s="360" t="str">
        <f t="shared" si="12"/>
        <v>2.1.2.2</v>
      </c>
      <c r="AR25" s="530"/>
      <c r="AS25" s="360"/>
      <c r="AT25" s="362"/>
      <c r="AU25" s="362"/>
      <c r="AV25" s="362"/>
      <c r="AW25" s="362"/>
      <c r="AX25" s="362"/>
      <c r="AY25" s="362"/>
      <c r="AZ25" s="362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</row>
    <row r="26" spans="1:68" ht="20.25" customHeight="1">
      <c r="A26" s="100">
        <v>11</v>
      </c>
      <c r="B26" s="100" t="s">
        <v>34</v>
      </c>
      <c r="C26" s="100" t="s">
        <v>1923</v>
      </c>
      <c r="D26" s="102" t="s">
        <v>134</v>
      </c>
      <c r="E26" s="100" t="str">
        <f t="shared" si="0"/>
        <v>Sama</v>
      </c>
      <c r="F26" s="63">
        <f t="shared" si="3"/>
        <v>20</v>
      </c>
      <c r="G26" s="63">
        <v>20</v>
      </c>
      <c r="H26" s="64" t="s">
        <v>34</v>
      </c>
      <c r="I26" s="64" t="s">
        <v>134</v>
      </c>
      <c r="J26" s="66">
        <v>6691.6246575829127</v>
      </c>
      <c r="K26" s="533" t="s">
        <v>104</v>
      </c>
      <c r="L26" s="68">
        <f t="shared" si="21"/>
        <v>4764.53</v>
      </c>
      <c r="M26" s="63"/>
      <c r="N26" s="365">
        <f t="shared" si="4"/>
        <v>2015</v>
      </c>
      <c r="O26" s="531" t="s">
        <v>1128</v>
      </c>
      <c r="P26" s="68">
        <v>4764.53</v>
      </c>
      <c r="Q26" s="68">
        <v>0</v>
      </c>
      <c r="R26" s="68">
        <v>4764.53</v>
      </c>
      <c r="S26" s="68">
        <f t="shared" si="5"/>
        <v>4764.53</v>
      </c>
      <c r="T26" s="63"/>
      <c r="U26" s="347" t="s">
        <v>721</v>
      </c>
      <c r="V26" s="370">
        <v>12777.64</v>
      </c>
      <c r="W26" s="370">
        <v>0</v>
      </c>
      <c r="X26" s="370">
        <v>12777.64</v>
      </c>
      <c r="Y26" s="68">
        <f t="shared" si="6"/>
        <v>12777.64</v>
      </c>
      <c r="Z26" s="345"/>
      <c r="AA26" s="347"/>
      <c r="AB26" s="345"/>
      <c r="AC26" s="345"/>
      <c r="AD26" s="345"/>
      <c r="AE26" s="68">
        <f t="shared" si="7"/>
        <v>0</v>
      </c>
      <c r="AF26" s="366" t="s">
        <v>1129</v>
      </c>
      <c r="AG26" s="358" t="s">
        <v>1090</v>
      </c>
      <c r="AH26" s="359"/>
      <c r="AI26" s="360"/>
      <c r="AJ26" s="360"/>
      <c r="AK26" s="360" t="str">
        <f t="shared" si="8"/>
        <v/>
      </c>
      <c r="AL26" s="18"/>
      <c r="AM26" s="360" t="str">
        <f t="shared" si="9"/>
        <v>2</v>
      </c>
      <c r="AN26" s="360" t="str">
        <f t="shared" si="10"/>
        <v>1</v>
      </c>
      <c r="AO26" s="360"/>
      <c r="AP26" s="346" t="str">
        <f t="shared" si="11"/>
        <v>1</v>
      </c>
      <c r="AQ26" s="360" t="str">
        <f t="shared" si="12"/>
        <v>2.1..1</v>
      </c>
      <c r="AR26" s="530"/>
      <c r="AS26" s="360"/>
      <c r="AT26" s="362"/>
      <c r="AU26" s="362"/>
      <c r="AV26" s="362"/>
      <c r="AW26" s="362"/>
      <c r="AX26" s="362"/>
      <c r="AY26" s="362"/>
      <c r="AZ26" s="362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</row>
    <row r="27" spans="1:68" ht="20.25" customHeight="1">
      <c r="A27" s="100">
        <v>11</v>
      </c>
      <c r="B27" s="100" t="s">
        <v>34</v>
      </c>
      <c r="C27" s="363">
        <v>45118</v>
      </c>
      <c r="D27" s="102" t="s">
        <v>136</v>
      </c>
      <c r="E27" s="100" t="str">
        <f t="shared" si="0"/>
        <v>Sama</v>
      </c>
      <c r="F27" s="63">
        <f t="shared" si="3"/>
        <v>21</v>
      </c>
      <c r="G27" s="63">
        <v>21</v>
      </c>
      <c r="H27" s="64" t="s">
        <v>34</v>
      </c>
      <c r="I27" s="64" t="s">
        <v>136</v>
      </c>
      <c r="J27" s="66">
        <v>24784.179962587183</v>
      </c>
      <c r="K27" s="533" t="s">
        <v>91</v>
      </c>
      <c r="L27" s="68">
        <f>AE27</f>
        <v>25964.52</v>
      </c>
      <c r="M27" s="63"/>
      <c r="N27" s="365">
        <f t="shared" si="4"/>
        <v>2014</v>
      </c>
      <c r="O27" s="531" t="s">
        <v>1131</v>
      </c>
      <c r="P27" s="68">
        <v>26826.9</v>
      </c>
      <c r="Q27" s="68">
        <v>0</v>
      </c>
      <c r="R27" s="68">
        <v>26826.9</v>
      </c>
      <c r="S27" s="68">
        <f t="shared" si="5"/>
        <v>26826.9</v>
      </c>
      <c r="T27" s="63"/>
      <c r="U27" s="347"/>
      <c r="V27" s="370"/>
      <c r="W27" s="370"/>
      <c r="X27" s="370"/>
      <c r="Y27" s="68">
        <f t="shared" si="6"/>
        <v>0</v>
      </c>
      <c r="Z27" s="345" t="s">
        <v>1076</v>
      </c>
      <c r="AA27" s="536" t="s">
        <v>137</v>
      </c>
      <c r="AB27" s="373">
        <v>25964.52</v>
      </c>
      <c r="AC27" s="374">
        <v>278.35000000000002</v>
      </c>
      <c r="AD27" s="345"/>
      <c r="AE27" s="68">
        <f t="shared" si="7"/>
        <v>25964.52</v>
      </c>
      <c r="AF27" s="364">
        <v>2022</v>
      </c>
      <c r="AG27" s="344"/>
      <c r="AH27" s="84"/>
      <c r="AI27" s="63"/>
      <c r="AJ27" s="63"/>
      <c r="AK27" s="63" t="str">
        <f t="shared" si="8"/>
        <v>V</v>
      </c>
      <c r="AL27" s="47"/>
      <c r="AM27" s="63" t="str">
        <f t="shared" si="9"/>
        <v>2</v>
      </c>
      <c r="AN27" s="63" t="str">
        <f t="shared" si="10"/>
        <v>1</v>
      </c>
      <c r="AO27" s="63"/>
      <c r="AP27" s="346" t="str">
        <f t="shared" si="11"/>
        <v>1</v>
      </c>
      <c r="AQ27" s="63" t="str">
        <f t="shared" si="12"/>
        <v>2.1..1</v>
      </c>
      <c r="AR27" s="534"/>
      <c r="AS27" s="64" t="s">
        <v>137</v>
      </c>
      <c r="AT27" s="95">
        <v>24784.27</v>
      </c>
      <c r="AU27" s="95">
        <v>26242.87</v>
      </c>
      <c r="AV27" s="377">
        <f>AU27/AT27</f>
        <v>1.0588518443351367</v>
      </c>
      <c r="AW27" s="378">
        <v>23129.52</v>
      </c>
      <c r="AX27" s="377">
        <f>AW27/AT27</f>
        <v>0.93323386163885402</v>
      </c>
      <c r="AY27" s="378">
        <v>1654.66</v>
      </c>
      <c r="AZ27" s="377">
        <f>AY27/AT27</f>
        <v>6.6762507025625528E-2</v>
      </c>
      <c r="BA27" s="47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</row>
    <row r="28" spans="1:68" ht="20.25" customHeight="1">
      <c r="A28" s="100">
        <v>11</v>
      </c>
      <c r="B28" s="100" t="s">
        <v>34</v>
      </c>
      <c r="C28" s="100" t="s">
        <v>1924</v>
      </c>
      <c r="D28" s="102" t="s">
        <v>138</v>
      </c>
      <c r="E28" s="100" t="str">
        <f t="shared" si="0"/>
        <v>Sama</v>
      </c>
      <c r="F28" s="63">
        <f t="shared" si="3"/>
        <v>22</v>
      </c>
      <c r="G28" s="63">
        <v>22</v>
      </c>
      <c r="H28" s="64" t="s">
        <v>34</v>
      </c>
      <c r="I28" s="64" t="s">
        <v>138</v>
      </c>
      <c r="J28" s="66">
        <v>8818.0422845580142</v>
      </c>
      <c r="K28" s="533" t="s">
        <v>104</v>
      </c>
      <c r="L28" s="68">
        <f t="shared" ref="L28:L29" si="22">IF(S28&gt;0,S28,IF(Y28&gt;0,Y28,IF(AE28&gt;0,AE28,0)))</f>
        <v>7739.21</v>
      </c>
      <c r="M28" s="63"/>
      <c r="N28" s="365">
        <f t="shared" si="4"/>
        <v>2014</v>
      </c>
      <c r="O28" s="531" t="s">
        <v>1133</v>
      </c>
      <c r="P28" s="68">
        <v>7739.21</v>
      </c>
      <c r="Q28" s="68">
        <v>0</v>
      </c>
      <c r="R28" s="68">
        <v>7739.21</v>
      </c>
      <c r="S28" s="68">
        <f t="shared" si="5"/>
        <v>7739.21</v>
      </c>
      <c r="T28" s="63"/>
      <c r="U28" s="531" t="s">
        <v>1134</v>
      </c>
      <c r="V28" s="370">
        <v>8818</v>
      </c>
      <c r="W28" s="370">
        <v>0</v>
      </c>
      <c r="X28" s="370">
        <v>8818</v>
      </c>
      <c r="Y28" s="68">
        <f t="shared" si="6"/>
        <v>8818</v>
      </c>
      <c r="Z28" s="345"/>
      <c r="AA28" s="347"/>
      <c r="AB28" s="345"/>
      <c r="AC28" s="345"/>
      <c r="AD28" s="345"/>
      <c r="AE28" s="68">
        <f t="shared" si="7"/>
        <v>0</v>
      </c>
      <c r="AF28" s="366">
        <v>2023</v>
      </c>
      <c r="AG28" s="358" t="s">
        <v>1090</v>
      </c>
      <c r="AH28" s="359"/>
      <c r="AI28" s="360"/>
      <c r="AJ28" s="360"/>
      <c r="AK28" s="360" t="str">
        <f t="shared" si="8"/>
        <v/>
      </c>
      <c r="AL28" s="18"/>
      <c r="AM28" s="360" t="str">
        <f t="shared" si="9"/>
        <v>2</v>
      </c>
      <c r="AN28" s="360" t="str">
        <f t="shared" si="10"/>
        <v>1</v>
      </c>
      <c r="AO28" s="360"/>
      <c r="AP28" s="346" t="str">
        <f t="shared" si="11"/>
        <v>1</v>
      </c>
      <c r="AQ28" s="360" t="str">
        <f t="shared" si="12"/>
        <v>2.1..1</v>
      </c>
      <c r="AR28" s="530"/>
      <c r="AS28" s="360"/>
      <c r="AT28" s="362"/>
      <c r="AU28" s="362"/>
      <c r="AV28" s="362"/>
      <c r="AW28" s="362"/>
      <c r="AX28" s="362"/>
      <c r="AY28" s="362"/>
      <c r="AZ28" s="362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</row>
    <row r="29" spans="1:68" ht="20.25" customHeight="1">
      <c r="A29" s="100">
        <v>11</v>
      </c>
      <c r="B29" s="100" t="s">
        <v>34</v>
      </c>
      <c r="C29" s="363">
        <v>45180</v>
      </c>
      <c r="D29" s="102" t="s">
        <v>140</v>
      </c>
      <c r="E29" s="100" t="str">
        <f t="shared" si="0"/>
        <v>Sama</v>
      </c>
      <c r="F29" s="63">
        <f t="shared" si="3"/>
        <v>23</v>
      </c>
      <c r="G29" s="63">
        <v>23</v>
      </c>
      <c r="H29" s="64" t="s">
        <v>34</v>
      </c>
      <c r="I29" s="64" t="s">
        <v>140</v>
      </c>
      <c r="J29" s="66">
        <v>7171.548211449719</v>
      </c>
      <c r="K29" s="533" t="s">
        <v>91</v>
      </c>
      <c r="L29" s="68">
        <f t="shared" si="22"/>
        <v>7030</v>
      </c>
      <c r="M29" s="63"/>
      <c r="N29" s="365">
        <f t="shared" si="4"/>
        <v>2014</v>
      </c>
      <c r="O29" s="531" t="s">
        <v>1136</v>
      </c>
      <c r="P29" s="68"/>
      <c r="Q29" s="68"/>
      <c r="R29" s="68"/>
      <c r="S29" s="68">
        <f t="shared" si="5"/>
        <v>0</v>
      </c>
      <c r="T29" s="63"/>
      <c r="U29" s="347"/>
      <c r="V29" s="370"/>
      <c r="W29" s="370"/>
      <c r="X29" s="370"/>
      <c r="Y29" s="68">
        <f t="shared" si="6"/>
        <v>0</v>
      </c>
      <c r="Z29" s="345" t="s">
        <v>1076</v>
      </c>
      <c r="AA29" s="531" t="s">
        <v>141</v>
      </c>
      <c r="AB29" s="345">
        <v>7030</v>
      </c>
      <c r="AC29" s="345"/>
      <c r="AD29" s="345">
        <v>7030</v>
      </c>
      <c r="AE29" s="68">
        <f t="shared" si="7"/>
        <v>7030</v>
      </c>
      <c r="AF29" s="366">
        <v>2020</v>
      </c>
      <c r="AG29" s="358"/>
      <c r="AH29" s="359"/>
      <c r="AI29" s="360"/>
      <c r="AJ29" s="360"/>
      <c r="AK29" s="360" t="str">
        <f t="shared" si="8"/>
        <v>V</v>
      </c>
      <c r="AL29" s="18"/>
      <c r="AM29" s="360" t="str">
        <f t="shared" si="9"/>
        <v>2</v>
      </c>
      <c r="AN29" s="360" t="str">
        <f t="shared" si="10"/>
        <v>2</v>
      </c>
      <c r="AO29" s="360"/>
      <c r="AP29" s="346" t="str">
        <f t="shared" si="11"/>
        <v>1</v>
      </c>
      <c r="AQ29" s="360" t="str">
        <f t="shared" si="12"/>
        <v>2.2..1</v>
      </c>
      <c r="AR29" s="530"/>
      <c r="AS29" s="362" t="s">
        <v>1925</v>
      </c>
      <c r="AT29" s="367">
        <v>7172</v>
      </c>
      <c r="AU29" s="367">
        <v>7030</v>
      </c>
      <c r="AV29" s="368">
        <f>AU29/AT29</f>
        <v>0.98020078081427775</v>
      </c>
      <c r="AW29" s="367">
        <v>6424</v>
      </c>
      <c r="AX29" s="368">
        <f>AW29/AT29</f>
        <v>0.89570552147239269</v>
      </c>
      <c r="AY29" s="362">
        <v>749</v>
      </c>
      <c r="AZ29" s="368">
        <f>AY29/AT29</f>
        <v>0.10443390964863357</v>
      </c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</row>
    <row r="30" spans="1:68" ht="20.25" customHeight="1">
      <c r="A30" s="100">
        <v>12</v>
      </c>
      <c r="B30" s="100" t="s">
        <v>35</v>
      </c>
      <c r="C30" s="100">
        <v>12</v>
      </c>
      <c r="D30" s="102" t="s">
        <v>1926</v>
      </c>
      <c r="E30" s="100" t="str">
        <f t="shared" si="0"/>
        <v>Sama</v>
      </c>
      <c r="F30" s="63"/>
      <c r="G30" s="342"/>
      <c r="H30" s="379"/>
      <c r="I30" s="379" t="s">
        <v>1926</v>
      </c>
      <c r="J30" s="380">
        <f>SUM(J31:J63)</f>
        <v>308668.34663552331</v>
      </c>
      <c r="K30" s="353">
        <f>COUNTIF(K31:K63,"D") + COUNTIF(K31:K63,"DS")</f>
        <v>15</v>
      </c>
      <c r="L30" s="354">
        <f>SUM(L31:L63)</f>
        <v>187652.11</v>
      </c>
      <c r="M30" s="342">
        <f>COUNTIF(M31:M63,T44)</f>
        <v>5</v>
      </c>
      <c r="N30" s="355"/>
      <c r="O30" s="356">
        <v>27</v>
      </c>
      <c r="P30" s="354">
        <f>SUM(P31:P63)</f>
        <v>54994.28</v>
      </c>
      <c r="Q30" s="354">
        <f t="shared" ref="Q30:S30" si="23">SUBTOTAL(9,Q31:Q62)</f>
        <v>0</v>
      </c>
      <c r="R30" s="354">
        <f t="shared" si="23"/>
        <v>219028.72</v>
      </c>
      <c r="S30" s="354">
        <f t="shared" si="23"/>
        <v>219028.72</v>
      </c>
      <c r="T30" s="342">
        <f>COUNTIF(T31:T63,M39)</f>
        <v>1</v>
      </c>
      <c r="U30" s="351">
        <v>9</v>
      </c>
      <c r="V30" s="337">
        <f t="shared" ref="V30:X30" si="24">SUM(V31:V63)</f>
        <v>230.29</v>
      </c>
      <c r="W30" s="337">
        <f t="shared" si="24"/>
        <v>0</v>
      </c>
      <c r="X30" s="337">
        <f t="shared" si="24"/>
        <v>0</v>
      </c>
      <c r="Y30" s="354">
        <f>SUBTOTAL(9,Y31:Y62)</f>
        <v>230.29</v>
      </c>
      <c r="Z30" s="337">
        <v>4</v>
      </c>
      <c r="AA30" s="351">
        <v>4</v>
      </c>
      <c r="AB30" s="337">
        <f t="shared" ref="AB30:AD30" si="25">SUM(AB31:AB63)</f>
        <v>63383.46</v>
      </c>
      <c r="AC30" s="337">
        <f t="shared" si="25"/>
        <v>0</v>
      </c>
      <c r="AD30" s="337">
        <f t="shared" si="25"/>
        <v>0</v>
      </c>
      <c r="AE30" s="354">
        <f>SUBTOTAL(9,AE31:AE62)</f>
        <v>63383.46</v>
      </c>
      <c r="AF30" s="357" t="s">
        <v>1138</v>
      </c>
      <c r="AG30" s="358"/>
      <c r="AH30" s="359"/>
      <c r="AI30" s="360"/>
      <c r="AJ30" s="362"/>
      <c r="AK30" s="381">
        <f>COUNTIF(AK31:AK63,"V") + COUNTIF(AK31:AK63,"VV") + COUNTIF(AK31:AK63,"VVV")</f>
        <v>10</v>
      </c>
      <c r="AL30" s="18"/>
      <c r="AM30" s="360"/>
      <c r="AN30" s="360"/>
      <c r="AO30" s="360"/>
      <c r="AP30" s="346"/>
      <c r="AQ30" s="360"/>
      <c r="AR30" s="530"/>
      <c r="AS30" s="360"/>
      <c r="AT30" s="362"/>
      <c r="AU30" s="362"/>
      <c r="AV30" s="362"/>
      <c r="AW30" s="362"/>
      <c r="AX30" s="362"/>
      <c r="AY30" s="362"/>
      <c r="AZ30" s="362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</row>
    <row r="31" spans="1:68" ht="20.25" customHeight="1">
      <c r="A31" s="100">
        <v>12</v>
      </c>
      <c r="B31" s="100" t="s">
        <v>35</v>
      </c>
      <c r="C31" s="363">
        <v>45181</v>
      </c>
      <c r="D31" s="102" t="s">
        <v>142</v>
      </c>
      <c r="E31" s="100" t="str">
        <f t="shared" si="0"/>
        <v>Sama</v>
      </c>
      <c r="F31" s="63">
        <f t="shared" ref="F31:F63" si="26">SUBTOTAL(3,$G$7:G31)</f>
        <v>24</v>
      </c>
      <c r="G31" s="63">
        <v>1</v>
      </c>
      <c r="H31" s="62" t="s">
        <v>35</v>
      </c>
      <c r="I31" s="62" t="s">
        <v>142</v>
      </c>
      <c r="J31" s="66">
        <v>6538.009697936126</v>
      </c>
      <c r="K31" s="533" t="s">
        <v>91</v>
      </c>
      <c r="L31" s="68">
        <f t="shared" ref="L31:L56" si="27">IF(S31&gt;0,S31,IF(Y31&gt;0,Y31,IF(AE31&gt;0,AE31,0)))</f>
        <v>16330.26</v>
      </c>
      <c r="M31" s="63" t="s">
        <v>1076</v>
      </c>
      <c r="N31" s="365">
        <f t="shared" ref="N31:N63" si="28">VALUE(RIGHT(O31,4))</f>
        <v>2013</v>
      </c>
      <c r="O31" s="531" t="s">
        <v>143</v>
      </c>
      <c r="P31" s="68"/>
      <c r="Q31" s="68"/>
      <c r="R31" s="68">
        <v>16330.26</v>
      </c>
      <c r="S31" s="68">
        <f t="shared" ref="S31:S63" si="29">IF(R31&gt;0,R31,IF(P31&gt;0,P31,0))</f>
        <v>16330.26</v>
      </c>
      <c r="T31" s="63"/>
      <c r="U31" s="347" t="s">
        <v>1140</v>
      </c>
      <c r="V31" s="631" t="s">
        <v>1141</v>
      </c>
      <c r="W31" s="564"/>
      <c r="X31" s="559"/>
      <c r="Y31" s="68"/>
      <c r="Z31" s="345"/>
      <c r="AA31" s="347"/>
      <c r="AB31" s="345"/>
      <c r="AC31" s="345"/>
      <c r="AD31" s="345"/>
      <c r="AE31" s="68"/>
      <c r="AF31" s="366">
        <v>2020</v>
      </c>
      <c r="AG31" s="358"/>
      <c r="AH31" s="359"/>
      <c r="AI31" s="360"/>
      <c r="AJ31" s="360"/>
      <c r="AK31" s="360" t="str">
        <f t="shared" ref="AK31:AK63" si="30">CONCATENATE(M31,T31,Z31)</f>
        <v>V</v>
      </c>
      <c r="AL31" s="18"/>
      <c r="AM31" s="360" t="str">
        <f t="shared" ref="AM31:AM63" si="31">IF(N31="","3",IF(N31&lt;=2018,"2","1"))</f>
        <v>2</v>
      </c>
      <c r="AN31" s="360" t="str">
        <f t="shared" ref="AN31:AN63" si="32">IF(S31&gt;0,"1","2")</f>
        <v>1</v>
      </c>
      <c r="AO31" s="360"/>
      <c r="AP31" s="346" t="str">
        <f t="shared" ref="AP31:AP63" si="33">IF(Y31&gt;0,"1",IF(AE31&gt;0,"1","2"))</f>
        <v>2</v>
      </c>
      <c r="AQ31" s="360" t="str">
        <f t="shared" ref="AQ31:AQ63" si="34">CONCATENATE(AM31,".",AN31,".",AO31,".",AP31)</f>
        <v>2.1..2</v>
      </c>
      <c r="AR31" s="530"/>
      <c r="AS31" s="347" t="s">
        <v>1927</v>
      </c>
      <c r="AT31" s="367">
        <v>6539</v>
      </c>
      <c r="AU31" s="367">
        <v>17290</v>
      </c>
      <c r="AV31" s="368">
        <f t="shared" ref="AV31:AV32" si="35">AU31/AT31</f>
        <v>2.644135188866799</v>
      </c>
      <c r="AW31" s="367">
        <v>4508</v>
      </c>
      <c r="AX31" s="368">
        <f t="shared" ref="AX31:AX32" si="36">AW31/AT31</f>
        <v>0.68940204924300352</v>
      </c>
      <c r="AY31" s="367">
        <v>2031</v>
      </c>
      <c r="AZ31" s="368">
        <f t="shared" ref="AZ31:AZ32" si="37">AY31/AT31</f>
        <v>0.31059795075699648</v>
      </c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</row>
    <row r="32" spans="1:68" ht="20.25" customHeight="1">
      <c r="A32" s="100">
        <v>12</v>
      </c>
      <c r="B32" s="100" t="s">
        <v>35</v>
      </c>
      <c r="C32" s="100" t="s">
        <v>1928</v>
      </c>
      <c r="D32" s="102" t="s">
        <v>144</v>
      </c>
      <c r="E32" s="100" t="str">
        <f t="shared" si="0"/>
        <v>Sama</v>
      </c>
      <c r="F32" s="63">
        <f t="shared" si="26"/>
        <v>25</v>
      </c>
      <c r="G32" s="63">
        <v>2</v>
      </c>
      <c r="H32" s="62" t="s">
        <v>35</v>
      </c>
      <c r="I32" s="62" t="s">
        <v>144</v>
      </c>
      <c r="J32" s="66">
        <v>12075.262265283354</v>
      </c>
      <c r="K32" s="533" t="s">
        <v>91</v>
      </c>
      <c r="L32" s="68">
        <f t="shared" si="27"/>
        <v>12061</v>
      </c>
      <c r="M32" s="63" t="s">
        <v>1076</v>
      </c>
      <c r="N32" s="365">
        <f t="shared" si="28"/>
        <v>2020</v>
      </c>
      <c r="O32" s="531" t="s">
        <v>145</v>
      </c>
      <c r="P32" s="370">
        <v>0</v>
      </c>
      <c r="Q32" s="370">
        <v>0</v>
      </c>
      <c r="R32" s="370">
        <v>12061</v>
      </c>
      <c r="S32" s="68">
        <f t="shared" si="29"/>
        <v>12061</v>
      </c>
      <c r="T32" s="63"/>
      <c r="U32" s="347" t="s">
        <v>159</v>
      </c>
      <c r="V32" s="370">
        <v>0</v>
      </c>
      <c r="W32" s="370">
        <v>0</v>
      </c>
      <c r="X32" s="370">
        <v>0</v>
      </c>
      <c r="Y32" s="68">
        <f t="shared" ref="Y32:Y49" si="38">IF(X32&gt;0,X32,IF(V32&gt;0,V32,0))</f>
        <v>0</v>
      </c>
      <c r="Z32" s="345"/>
      <c r="AA32" s="347"/>
      <c r="AB32" s="345"/>
      <c r="AC32" s="345"/>
      <c r="AD32" s="345"/>
      <c r="AE32" s="68">
        <f t="shared" ref="AE32:AE49" si="39">IF(AD32&gt;0,AD32,IF(AB32&gt;0,AB32,0))</f>
        <v>0</v>
      </c>
      <c r="AF32" s="366">
        <v>2021</v>
      </c>
      <c r="AG32" s="358"/>
      <c r="AH32" s="359"/>
      <c r="AI32" s="360"/>
      <c r="AJ32" s="360"/>
      <c r="AK32" s="360" t="str">
        <f t="shared" si="30"/>
        <v>V</v>
      </c>
      <c r="AL32" s="18"/>
      <c r="AM32" s="360" t="str">
        <f t="shared" si="31"/>
        <v>1</v>
      </c>
      <c r="AN32" s="360" t="str">
        <f t="shared" si="32"/>
        <v>1</v>
      </c>
      <c r="AO32" s="360"/>
      <c r="AP32" s="346" t="str">
        <f t="shared" si="33"/>
        <v>2</v>
      </c>
      <c r="AQ32" s="360" t="str">
        <f t="shared" si="34"/>
        <v>1.1..2</v>
      </c>
      <c r="AR32" s="530"/>
      <c r="AS32" s="362" t="s">
        <v>145</v>
      </c>
      <c r="AT32" s="367">
        <v>12060</v>
      </c>
      <c r="AU32" s="367">
        <v>12070</v>
      </c>
      <c r="AV32" s="368">
        <f t="shared" si="35"/>
        <v>1.0008291873963515</v>
      </c>
      <c r="AW32" s="367">
        <v>11945</v>
      </c>
      <c r="AX32" s="368">
        <f t="shared" si="36"/>
        <v>0.9904643449419569</v>
      </c>
      <c r="AY32" s="362">
        <v>115</v>
      </c>
      <c r="AZ32" s="368">
        <f t="shared" si="37"/>
        <v>9.5356550580431177E-3</v>
      </c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</row>
    <row r="33" spans="1:68" ht="20.25" customHeight="1">
      <c r="A33" s="100">
        <v>12</v>
      </c>
      <c r="B33" s="100" t="s">
        <v>35</v>
      </c>
      <c r="C33" s="369">
        <v>45242</v>
      </c>
      <c r="D33" s="102" t="s">
        <v>146</v>
      </c>
      <c r="E33" s="100" t="str">
        <f t="shared" si="0"/>
        <v>Sama</v>
      </c>
      <c r="F33" s="63">
        <f t="shared" si="26"/>
        <v>26</v>
      </c>
      <c r="G33" s="63">
        <v>3</v>
      </c>
      <c r="H33" s="62" t="s">
        <v>35</v>
      </c>
      <c r="I33" s="62" t="s">
        <v>146</v>
      </c>
      <c r="J33" s="66">
        <v>5694.1589052428772</v>
      </c>
      <c r="K33" s="533" t="s">
        <v>123</v>
      </c>
      <c r="L33" s="68">
        <f t="shared" si="27"/>
        <v>0</v>
      </c>
      <c r="M33" s="63"/>
      <c r="N33" s="365">
        <f t="shared" si="28"/>
        <v>2014</v>
      </c>
      <c r="O33" s="531" t="s">
        <v>147</v>
      </c>
      <c r="P33" s="370"/>
      <c r="Q33" s="370"/>
      <c r="R33" s="370"/>
      <c r="S33" s="68">
        <f t="shared" si="29"/>
        <v>0</v>
      </c>
      <c r="T33" s="63"/>
      <c r="U33" s="347"/>
      <c r="V33" s="370"/>
      <c r="W33" s="370"/>
      <c r="X33" s="370"/>
      <c r="Y33" s="68">
        <f t="shared" si="38"/>
        <v>0</v>
      </c>
      <c r="Z33" s="345"/>
      <c r="AA33" s="347"/>
      <c r="AB33" s="345"/>
      <c r="AC33" s="345"/>
      <c r="AD33" s="345"/>
      <c r="AE33" s="68">
        <f t="shared" si="39"/>
        <v>0</v>
      </c>
      <c r="AF33" s="366" t="s">
        <v>1097</v>
      </c>
      <c r="AG33" s="358"/>
      <c r="AH33" s="359"/>
      <c r="AI33" s="360"/>
      <c r="AJ33" s="360"/>
      <c r="AK33" s="360" t="str">
        <f t="shared" si="30"/>
        <v/>
      </c>
      <c r="AL33" s="18"/>
      <c r="AM33" s="360" t="str">
        <f t="shared" si="31"/>
        <v>2</v>
      </c>
      <c r="AN33" s="360" t="str">
        <f t="shared" si="32"/>
        <v>2</v>
      </c>
      <c r="AO33" s="360"/>
      <c r="AP33" s="346" t="str">
        <f t="shared" si="33"/>
        <v>2</v>
      </c>
      <c r="AQ33" s="360" t="str">
        <f t="shared" si="34"/>
        <v>2.2..2</v>
      </c>
      <c r="AR33" s="530"/>
      <c r="AS33" s="360"/>
      <c r="AT33" s="362"/>
      <c r="AU33" s="362"/>
      <c r="AV33" s="362"/>
      <c r="AW33" s="362"/>
      <c r="AX33" s="362"/>
      <c r="AY33" s="362"/>
      <c r="AZ33" s="362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</row>
    <row r="34" spans="1:68" ht="20.25" customHeight="1">
      <c r="A34" s="100">
        <v>12</v>
      </c>
      <c r="B34" s="100" t="s">
        <v>35</v>
      </c>
      <c r="C34" s="363">
        <v>45119</v>
      </c>
      <c r="D34" s="102" t="s">
        <v>148</v>
      </c>
      <c r="E34" s="100" t="str">
        <f t="shared" si="0"/>
        <v>Sama</v>
      </c>
      <c r="F34" s="63">
        <f t="shared" si="26"/>
        <v>27</v>
      </c>
      <c r="G34" s="63">
        <v>4</v>
      </c>
      <c r="H34" s="62" t="s">
        <v>35</v>
      </c>
      <c r="I34" s="62" t="s">
        <v>148</v>
      </c>
      <c r="J34" s="66">
        <v>33861.22374609606</v>
      </c>
      <c r="K34" s="533" t="s">
        <v>91</v>
      </c>
      <c r="L34" s="68">
        <f t="shared" si="27"/>
        <v>26212.959999999999</v>
      </c>
      <c r="M34" s="63" t="s">
        <v>1076</v>
      </c>
      <c r="N34" s="365">
        <f t="shared" si="28"/>
        <v>2021</v>
      </c>
      <c r="O34" s="531" t="s">
        <v>149</v>
      </c>
      <c r="P34" s="370">
        <v>0</v>
      </c>
      <c r="Q34" s="370"/>
      <c r="R34" s="370">
        <v>26212.959999999999</v>
      </c>
      <c r="S34" s="68">
        <f t="shared" si="29"/>
        <v>26212.959999999999</v>
      </c>
      <c r="T34" s="63"/>
      <c r="U34" s="347"/>
      <c r="V34" s="370"/>
      <c r="W34" s="370"/>
      <c r="X34" s="370"/>
      <c r="Y34" s="68">
        <f t="shared" si="38"/>
        <v>0</v>
      </c>
      <c r="Z34" s="345"/>
      <c r="AA34" s="347"/>
      <c r="AB34" s="345"/>
      <c r="AC34" s="345"/>
      <c r="AD34" s="345"/>
      <c r="AE34" s="68">
        <f t="shared" si="39"/>
        <v>0</v>
      </c>
      <c r="AF34" s="366">
        <v>2020</v>
      </c>
      <c r="AG34" s="358"/>
      <c r="AH34" s="359"/>
      <c r="AI34" s="360"/>
      <c r="AJ34" s="360"/>
      <c r="AK34" s="360" t="str">
        <f t="shared" si="30"/>
        <v>V</v>
      </c>
      <c r="AL34" s="18"/>
      <c r="AM34" s="360" t="str">
        <f t="shared" si="31"/>
        <v>1</v>
      </c>
      <c r="AN34" s="360" t="str">
        <f t="shared" si="32"/>
        <v>1</v>
      </c>
      <c r="AO34" s="360"/>
      <c r="AP34" s="346" t="str">
        <f t="shared" si="33"/>
        <v>2</v>
      </c>
      <c r="AQ34" s="360" t="str">
        <f t="shared" si="34"/>
        <v>1.1..2</v>
      </c>
      <c r="AR34" s="530"/>
      <c r="AS34" s="347" t="s">
        <v>149</v>
      </c>
      <c r="AT34" s="367">
        <v>33992</v>
      </c>
      <c r="AU34" s="367">
        <v>26236</v>
      </c>
      <c r="AV34" s="368">
        <f>AU34/AT34</f>
        <v>0.77182866556836904</v>
      </c>
      <c r="AW34" s="367">
        <v>19894</v>
      </c>
      <c r="AX34" s="368">
        <f>AW34/AT34</f>
        <v>0.58525535420098851</v>
      </c>
      <c r="AY34" s="367">
        <v>14098</v>
      </c>
      <c r="AZ34" s="368">
        <f>AY34/AT34</f>
        <v>0.41474464579901155</v>
      </c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</row>
    <row r="35" spans="1:68" ht="20.25" customHeight="1">
      <c r="A35" s="100">
        <v>12</v>
      </c>
      <c r="B35" s="100" t="s">
        <v>35</v>
      </c>
      <c r="C35" s="100" t="s">
        <v>1929</v>
      </c>
      <c r="D35" s="102" t="s">
        <v>150</v>
      </c>
      <c r="E35" s="100" t="str">
        <f t="shared" si="0"/>
        <v>Sama</v>
      </c>
      <c r="F35" s="63">
        <f t="shared" si="26"/>
        <v>28</v>
      </c>
      <c r="G35" s="63">
        <v>5</v>
      </c>
      <c r="H35" s="62" t="s">
        <v>35</v>
      </c>
      <c r="I35" s="62" t="s">
        <v>150</v>
      </c>
      <c r="J35" s="66">
        <v>11836.711348452704</v>
      </c>
      <c r="K35" s="533" t="s">
        <v>123</v>
      </c>
      <c r="L35" s="68">
        <f t="shared" si="27"/>
        <v>0</v>
      </c>
      <c r="M35" s="63"/>
      <c r="N35" s="365">
        <f t="shared" si="28"/>
        <v>2018</v>
      </c>
      <c r="O35" s="531" t="s">
        <v>151</v>
      </c>
      <c r="P35" s="370"/>
      <c r="Q35" s="370"/>
      <c r="R35" s="370"/>
      <c r="S35" s="68">
        <f t="shared" si="29"/>
        <v>0</v>
      </c>
      <c r="T35" s="63"/>
      <c r="U35" s="347"/>
      <c r="V35" s="370"/>
      <c r="W35" s="370"/>
      <c r="X35" s="370"/>
      <c r="Y35" s="68">
        <f t="shared" si="38"/>
        <v>0</v>
      </c>
      <c r="Z35" s="345"/>
      <c r="AA35" s="347"/>
      <c r="AB35" s="345"/>
      <c r="AC35" s="345"/>
      <c r="AD35" s="345"/>
      <c r="AE35" s="68">
        <f t="shared" si="39"/>
        <v>0</v>
      </c>
      <c r="AF35" s="366" t="s">
        <v>1097</v>
      </c>
      <c r="AG35" s="358"/>
      <c r="AH35" s="359"/>
      <c r="AI35" s="360"/>
      <c r="AJ35" s="360"/>
      <c r="AK35" s="360" t="str">
        <f t="shared" si="30"/>
        <v/>
      </c>
      <c r="AL35" s="18" t="s">
        <v>1146</v>
      </c>
      <c r="AM35" s="360" t="str">
        <f t="shared" si="31"/>
        <v>2</v>
      </c>
      <c r="AN35" s="360" t="str">
        <f t="shared" si="32"/>
        <v>2</v>
      </c>
      <c r="AO35" s="360"/>
      <c r="AP35" s="346" t="str">
        <f t="shared" si="33"/>
        <v>2</v>
      </c>
      <c r="AQ35" s="360" t="str">
        <f t="shared" si="34"/>
        <v>2.2..2</v>
      </c>
      <c r="AR35" s="530"/>
      <c r="AS35" s="360"/>
      <c r="AT35" s="362"/>
      <c r="AU35" s="362"/>
      <c r="AV35" s="362"/>
      <c r="AW35" s="362"/>
      <c r="AX35" s="362"/>
      <c r="AY35" s="362"/>
      <c r="AZ35" s="362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</row>
    <row r="36" spans="1:68" ht="20.25" customHeight="1">
      <c r="A36" s="100">
        <v>12</v>
      </c>
      <c r="B36" s="100" t="s">
        <v>35</v>
      </c>
      <c r="C36" s="363">
        <v>45089</v>
      </c>
      <c r="D36" s="102" t="s">
        <v>152</v>
      </c>
      <c r="E36" s="100" t="str">
        <f t="shared" si="0"/>
        <v>Sama</v>
      </c>
      <c r="F36" s="63">
        <f t="shared" si="26"/>
        <v>29</v>
      </c>
      <c r="G36" s="63">
        <v>6</v>
      </c>
      <c r="H36" s="62" t="s">
        <v>35</v>
      </c>
      <c r="I36" s="62" t="s">
        <v>152</v>
      </c>
      <c r="J36" s="66">
        <v>14471.96725497933</v>
      </c>
      <c r="K36" s="533" t="s">
        <v>104</v>
      </c>
      <c r="L36" s="68">
        <f t="shared" si="27"/>
        <v>12768</v>
      </c>
      <c r="M36" s="63"/>
      <c r="N36" s="365">
        <f t="shared" si="28"/>
        <v>2022</v>
      </c>
      <c r="O36" s="531" t="s">
        <v>153</v>
      </c>
      <c r="P36" s="370"/>
      <c r="Q36" s="370"/>
      <c r="R36" s="370">
        <v>12768</v>
      </c>
      <c r="S36" s="68">
        <f t="shared" si="29"/>
        <v>12768</v>
      </c>
      <c r="T36" s="63"/>
      <c r="U36" s="347"/>
      <c r="V36" s="370"/>
      <c r="W36" s="370"/>
      <c r="X36" s="370"/>
      <c r="Y36" s="68">
        <f t="shared" si="38"/>
        <v>0</v>
      </c>
      <c r="Z36" s="345"/>
      <c r="AA36" s="347"/>
      <c r="AB36" s="345"/>
      <c r="AC36" s="345"/>
      <c r="AD36" s="345"/>
      <c r="AE36" s="68">
        <f t="shared" si="39"/>
        <v>0</v>
      </c>
      <c r="AF36" s="366" t="s">
        <v>1097</v>
      </c>
      <c r="AG36" s="358"/>
      <c r="AH36" s="359"/>
      <c r="AI36" s="360"/>
      <c r="AJ36" s="360"/>
      <c r="AK36" s="360" t="str">
        <f t="shared" si="30"/>
        <v/>
      </c>
      <c r="AL36" s="18"/>
      <c r="AM36" s="360" t="str">
        <f t="shared" si="31"/>
        <v>1</v>
      </c>
      <c r="AN36" s="360" t="str">
        <f t="shared" si="32"/>
        <v>1</v>
      </c>
      <c r="AO36" s="360"/>
      <c r="AP36" s="346" t="str">
        <f t="shared" si="33"/>
        <v>2</v>
      </c>
      <c r="AQ36" s="360" t="str">
        <f t="shared" si="34"/>
        <v>1.1..2</v>
      </c>
      <c r="AR36" s="530"/>
      <c r="AS36" s="360"/>
      <c r="AT36" s="362"/>
      <c r="AU36" s="362"/>
      <c r="AV36" s="362"/>
      <c r="AW36" s="362"/>
      <c r="AX36" s="362"/>
      <c r="AY36" s="362"/>
      <c r="AZ36" s="362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</row>
    <row r="37" spans="1:68" ht="20.25" customHeight="1">
      <c r="A37" s="100">
        <v>12</v>
      </c>
      <c r="B37" s="100" t="s">
        <v>35</v>
      </c>
      <c r="C37" s="100" t="s">
        <v>1930</v>
      </c>
      <c r="D37" s="102" t="s">
        <v>154</v>
      </c>
      <c r="E37" s="100" t="str">
        <f t="shared" si="0"/>
        <v>Sama</v>
      </c>
      <c r="F37" s="63">
        <f t="shared" si="26"/>
        <v>30</v>
      </c>
      <c r="G37" s="63">
        <v>7</v>
      </c>
      <c r="H37" s="62" t="s">
        <v>35</v>
      </c>
      <c r="I37" s="62" t="s">
        <v>154</v>
      </c>
      <c r="J37" s="66">
        <v>1208.3647847157999</v>
      </c>
      <c r="K37" s="533" t="s">
        <v>123</v>
      </c>
      <c r="L37" s="68">
        <f t="shared" si="27"/>
        <v>0</v>
      </c>
      <c r="M37" s="63"/>
      <c r="N37" s="365">
        <f t="shared" si="28"/>
        <v>2020</v>
      </c>
      <c r="O37" s="531" t="s">
        <v>155</v>
      </c>
      <c r="P37" s="370"/>
      <c r="Q37" s="370"/>
      <c r="R37" s="370"/>
      <c r="S37" s="68">
        <f t="shared" si="29"/>
        <v>0</v>
      </c>
      <c r="T37" s="63"/>
      <c r="U37" s="347"/>
      <c r="V37" s="370"/>
      <c r="W37" s="370"/>
      <c r="X37" s="370"/>
      <c r="Y37" s="68">
        <f t="shared" si="38"/>
        <v>0</v>
      </c>
      <c r="Z37" s="345"/>
      <c r="AA37" s="347"/>
      <c r="AB37" s="345"/>
      <c r="AC37" s="345"/>
      <c r="AD37" s="345"/>
      <c r="AE37" s="68">
        <f t="shared" si="39"/>
        <v>0</v>
      </c>
      <c r="AF37" s="366" t="s">
        <v>1097</v>
      </c>
      <c r="AG37" s="358"/>
      <c r="AH37" s="359"/>
      <c r="AI37" s="360"/>
      <c r="AJ37" s="360"/>
      <c r="AK37" s="360" t="str">
        <f t="shared" si="30"/>
        <v/>
      </c>
      <c r="AL37" s="18"/>
      <c r="AM37" s="360" t="str">
        <f t="shared" si="31"/>
        <v>1</v>
      </c>
      <c r="AN37" s="360" t="str">
        <f t="shared" si="32"/>
        <v>2</v>
      </c>
      <c r="AO37" s="360"/>
      <c r="AP37" s="346" t="str">
        <f t="shared" si="33"/>
        <v>2</v>
      </c>
      <c r="AQ37" s="360" t="str">
        <f t="shared" si="34"/>
        <v>1.2..2</v>
      </c>
      <c r="AR37" s="530"/>
      <c r="AS37" s="360"/>
      <c r="AT37" s="362"/>
      <c r="AU37" s="362"/>
      <c r="AV37" s="362"/>
      <c r="AW37" s="362"/>
      <c r="AX37" s="362"/>
      <c r="AY37" s="362"/>
      <c r="AZ37" s="362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</row>
    <row r="38" spans="1:68" ht="20.25" customHeight="1">
      <c r="A38" s="100">
        <v>12</v>
      </c>
      <c r="B38" s="100" t="s">
        <v>35</v>
      </c>
      <c r="C38" s="100" t="s">
        <v>1931</v>
      </c>
      <c r="D38" s="102" t="s">
        <v>156</v>
      </c>
      <c r="E38" s="100" t="str">
        <f t="shared" si="0"/>
        <v>Beda</v>
      </c>
      <c r="F38" s="63">
        <f t="shared" si="26"/>
        <v>31</v>
      </c>
      <c r="G38" s="63">
        <v>8</v>
      </c>
      <c r="H38" s="62" t="s">
        <v>35</v>
      </c>
      <c r="I38" s="62" t="s">
        <v>1932</v>
      </c>
      <c r="J38" s="66">
        <v>1163.5455893254978</v>
      </c>
      <c r="K38" s="533" t="s">
        <v>123</v>
      </c>
      <c r="L38" s="68">
        <f t="shared" si="27"/>
        <v>0</v>
      </c>
      <c r="M38" s="63"/>
      <c r="N38" s="365">
        <f t="shared" si="28"/>
        <v>2012</v>
      </c>
      <c r="O38" s="531" t="s">
        <v>157</v>
      </c>
      <c r="P38" s="370"/>
      <c r="Q38" s="370"/>
      <c r="R38" s="370"/>
      <c r="S38" s="68">
        <f t="shared" si="29"/>
        <v>0</v>
      </c>
      <c r="T38" s="63"/>
      <c r="U38" s="347"/>
      <c r="V38" s="370"/>
      <c r="W38" s="370"/>
      <c r="X38" s="370"/>
      <c r="Y38" s="68">
        <f t="shared" si="38"/>
        <v>0</v>
      </c>
      <c r="Z38" s="345"/>
      <c r="AA38" s="347"/>
      <c r="AB38" s="345"/>
      <c r="AC38" s="345"/>
      <c r="AD38" s="345"/>
      <c r="AE38" s="68">
        <f t="shared" si="39"/>
        <v>0</v>
      </c>
      <c r="AF38" s="366" t="s">
        <v>1097</v>
      </c>
      <c r="AG38" s="358"/>
      <c r="AH38" s="359"/>
      <c r="AI38" s="360"/>
      <c r="AJ38" s="360"/>
      <c r="AK38" s="360" t="str">
        <f t="shared" si="30"/>
        <v/>
      </c>
      <c r="AL38" s="18"/>
      <c r="AM38" s="360" t="str">
        <f t="shared" si="31"/>
        <v>2</v>
      </c>
      <c r="AN38" s="360" t="str">
        <f t="shared" si="32"/>
        <v>2</v>
      </c>
      <c r="AO38" s="360"/>
      <c r="AP38" s="346" t="str">
        <f t="shared" si="33"/>
        <v>2</v>
      </c>
      <c r="AQ38" s="360" t="str">
        <f t="shared" si="34"/>
        <v>2.2..2</v>
      </c>
      <c r="AR38" s="530"/>
      <c r="AS38" s="360"/>
      <c r="AT38" s="362"/>
      <c r="AU38" s="362"/>
      <c r="AV38" s="362"/>
      <c r="AW38" s="362"/>
      <c r="AX38" s="362"/>
      <c r="AY38" s="362"/>
      <c r="AZ38" s="362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</row>
    <row r="39" spans="1:68" ht="20.25" customHeight="1">
      <c r="A39" s="100">
        <v>12</v>
      </c>
      <c r="B39" s="100" t="s">
        <v>35</v>
      </c>
      <c r="C39" s="100" t="s">
        <v>1933</v>
      </c>
      <c r="D39" s="102" t="s">
        <v>158</v>
      </c>
      <c r="E39" s="100" t="str">
        <f t="shared" si="0"/>
        <v>Sama</v>
      </c>
      <c r="F39" s="63">
        <f t="shared" si="26"/>
        <v>32</v>
      </c>
      <c r="G39" s="63">
        <v>9</v>
      </c>
      <c r="H39" s="62" t="s">
        <v>35</v>
      </c>
      <c r="I39" s="62" t="s">
        <v>158</v>
      </c>
      <c r="J39" s="66">
        <v>1005.7925164686635</v>
      </c>
      <c r="K39" s="533" t="s">
        <v>91</v>
      </c>
      <c r="L39" s="68">
        <f t="shared" si="27"/>
        <v>121</v>
      </c>
      <c r="M39" s="63" t="s">
        <v>1076</v>
      </c>
      <c r="N39" s="365">
        <f t="shared" si="28"/>
        <v>2022</v>
      </c>
      <c r="O39" s="531" t="s">
        <v>159</v>
      </c>
      <c r="P39" s="68"/>
      <c r="Q39" s="68"/>
      <c r="R39" s="68">
        <v>121</v>
      </c>
      <c r="S39" s="68">
        <f t="shared" si="29"/>
        <v>121</v>
      </c>
      <c r="T39" s="63"/>
      <c r="U39" s="347"/>
      <c r="V39" s="370"/>
      <c r="W39" s="370"/>
      <c r="X39" s="370"/>
      <c r="Y39" s="68">
        <f t="shared" si="38"/>
        <v>0</v>
      </c>
      <c r="Z39" s="345"/>
      <c r="AA39" s="347"/>
      <c r="AB39" s="345"/>
      <c r="AC39" s="345"/>
      <c r="AD39" s="345"/>
      <c r="AE39" s="68">
        <f t="shared" si="39"/>
        <v>0</v>
      </c>
      <c r="AF39" s="366">
        <v>2020</v>
      </c>
      <c r="AG39" s="358"/>
      <c r="AH39" s="359"/>
      <c r="AI39" s="360"/>
      <c r="AJ39" s="360"/>
      <c r="AK39" s="360" t="str">
        <f t="shared" si="30"/>
        <v>V</v>
      </c>
      <c r="AL39" s="18"/>
      <c r="AM39" s="360" t="str">
        <f t="shared" si="31"/>
        <v>1</v>
      </c>
      <c r="AN39" s="360" t="str">
        <f t="shared" si="32"/>
        <v>1</v>
      </c>
      <c r="AO39" s="360"/>
      <c r="AP39" s="346" t="str">
        <f t="shared" si="33"/>
        <v>2</v>
      </c>
      <c r="AQ39" s="360" t="str">
        <f t="shared" si="34"/>
        <v>1.1..2</v>
      </c>
      <c r="AR39" s="530"/>
      <c r="AS39" s="362" t="s">
        <v>159</v>
      </c>
      <c r="AT39" s="362">
        <v>928</v>
      </c>
      <c r="AU39" s="362">
        <v>121</v>
      </c>
      <c r="AV39" s="368">
        <f>AU39/AT39</f>
        <v>0.13038793103448276</v>
      </c>
      <c r="AW39" s="362">
        <v>47</v>
      </c>
      <c r="AX39" s="368">
        <f>AW39/AT39</f>
        <v>5.0646551724137928E-2</v>
      </c>
      <c r="AY39" s="362">
        <v>881</v>
      </c>
      <c r="AZ39" s="368">
        <f>AY39/AT39</f>
        <v>0.9493534482758621</v>
      </c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</row>
    <row r="40" spans="1:68" ht="20.25" customHeight="1">
      <c r="A40" s="100">
        <v>12</v>
      </c>
      <c r="B40" s="100" t="s">
        <v>35</v>
      </c>
      <c r="C40" s="100" t="s">
        <v>1934</v>
      </c>
      <c r="D40" s="102" t="s">
        <v>160</v>
      </c>
      <c r="E40" s="100" t="str">
        <f t="shared" si="0"/>
        <v>Sama</v>
      </c>
      <c r="F40" s="63">
        <f t="shared" si="26"/>
        <v>33</v>
      </c>
      <c r="G40" s="63">
        <v>10</v>
      </c>
      <c r="H40" s="62" t="s">
        <v>35</v>
      </c>
      <c r="I40" s="62" t="s">
        <v>160</v>
      </c>
      <c r="J40" s="66">
        <v>3066.2104740226682</v>
      </c>
      <c r="K40" s="533" t="s">
        <v>123</v>
      </c>
      <c r="L40" s="68">
        <f t="shared" si="27"/>
        <v>0</v>
      </c>
      <c r="M40" s="63"/>
      <c r="N40" s="365">
        <f t="shared" si="28"/>
        <v>2014</v>
      </c>
      <c r="O40" s="531" t="s">
        <v>285</v>
      </c>
      <c r="P40" s="68"/>
      <c r="Q40" s="68"/>
      <c r="R40" s="68"/>
      <c r="S40" s="68">
        <f t="shared" si="29"/>
        <v>0</v>
      </c>
      <c r="T40" s="63"/>
      <c r="U40" s="347" t="s">
        <v>161</v>
      </c>
      <c r="V40" s="370"/>
      <c r="W40" s="370"/>
      <c r="X40" s="370"/>
      <c r="Y40" s="68">
        <f t="shared" si="38"/>
        <v>0</v>
      </c>
      <c r="Z40" s="345"/>
      <c r="AA40" s="347"/>
      <c r="AB40" s="345"/>
      <c r="AC40" s="345"/>
      <c r="AD40" s="345"/>
      <c r="AE40" s="68">
        <f t="shared" si="39"/>
        <v>0</v>
      </c>
      <c r="AF40" s="366" t="s">
        <v>1097</v>
      </c>
      <c r="AG40" s="358"/>
      <c r="AH40" s="359"/>
      <c r="AI40" s="360"/>
      <c r="AJ40" s="360"/>
      <c r="AK40" s="360" t="str">
        <f t="shared" si="30"/>
        <v/>
      </c>
      <c r="AL40" s="18"/>
      <c r="AM40" s="360" t="str">
        <f t="shared" si="31"/>
        <v>2</v>
      </c>
      <c r="AN40" s="360" t="str">
        <f t="shared" si="32"/>
        <v>2</v>
      </c>
      <c r="AO40" s="360"/>
      <c r="AP40" s="346" t="str">
        <f t="shared" si="33"/>
        <v>2</v>
      </c>
      <c r="AQ40" s="360" t="str">
        <f t="shared" si="34"/>
        <v>2.2..2</v>
      </c>
      <c r="AR40" s="530"/>
      <c r="AS40" s="360"/>
      <c r="AT40" s="362"/>
      <c r="AU40" s="362"/>
      <c r="AV40" s="362"/>
      <c r="AW40" s="362"/>
      <c r="AX40" s="362"/>
      <c r="AY40" s="362"/>
      <c r="AZ40" s="362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</row>
    <row r="41" spans="1:68" ht="20.25" customHeight="1">
      <c r="A41" s="100">
        <v>12</v>
      </c>
      <c r="B41" s="100" t="s">
        <v>35</v>
      </c>
      <c r="C41" s="100" t="s">
        <v>1935</v>
      </c>
      <c r="D41" s="102" t="s">
        <v>162</v>
      </c>
      <c r="E41" s="100" t="str">
        <f t="shared" si="0"/>
        <v>Beda</v>
      </c>
      <c r="F41" s="63">
        <f t="shared" si="26"/>
        <v>34</v>
      </c>
      <c r="G41" s="63">
        <v>11</v>
      </c>
      <c r="H41" s="62" t="s">
        <v>35</v>
      </c>
      <c r="I41" s="62" t="s">
        <v>1936</v>
      </c>
      <c r="J41" s="66">
        <v>1519.7260469217113</v>
      </c>
      <c r="K41" s="533" t="s">
        <v>123</v>
      </c>
      <c r="L41" s="68">
        <f t="shared" si="27"/>
        <v>0</v>
      </c>
      <c r="M41" s="63"/>
      <c r="N41" s="365">
        <f t="shared" si="28"/>
        <v>2013</v>
      </c>
      <c r="O41" s="531" t="s">
        <v>1153</v>
      </c>
      <c r="P41" s="68"/>
      <c r="Q41" s="68"/>
      <c r="R41" s="68"/>
      <c r="S41" s="68">
        <f t="shared" si="29"/>
        <v>0</v>
      </c>
      <c r="T41" s="63"/>
      <c r="U41" s="347"/>
      <c r="V41" s="370"/>
      <c r="W41" s="370"/>
      <c r="X41" s="370"/>
      <c r="Y41" s="68">
        <f t="shared" si="38"/>
        <v>0</v>
      </c>
      <c r="Z41" s="345"/>
      <c r="AA41" s="347"/>
      <c r="AB41" s="345"/>
      <c r="AC41" s="345"/>
      <c r="AD41" s="345"/>
      <c r="AE41" s="68">
        <f t="shared" si="39"/>
        <v>0</v>
      </c>
      <c r="AF41" s="366" t="s">
        <v>1097</v>
      </c>
      <c r="AG41" s="358"/>
      <c r="AH41" s="359"/>
      <c r="AI41" s="360"/>
      <c r="AJ41" s="360"/>
      <c r="AK41" s="360" t="str">
        <f t="shared" si="30"/>
        <v/>
      </c>
      <c r="AL41" s="18"/>
      <c r="AM41" s="360" t="str">
        <f t="shared" si="31"/>
        <v>2</v>
      </c>
      <c r="AN41" s="360" t="str">
        <f t="shared" si="32"/>
        <v>2</v>
      </c>
      <c r="AO41" s="360"/>
      <c r="AP41" s="346" t="str">
        <f t="shared" si="33"/>
        <v>2</v>
      </c>
      <c r="AQ41" s="360" t="str">
        <f t="shared" si="34"/>
        <v>2.2..2</v>
      </c>
      <c r="AR41" s="530"/>
      <c r="AS41" s="360"/>
      <c r="AT41" s="362"/>
      <c r="AU41" s="362"/>
      <c r="AV41" s="362"/>
      <c r="AW41" s="362"/>
      <c r="AX41" s="362"/>
      <c r="AY41" s="362"/>
      <c r="AZ41" s="362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</row>
    <row r="42" spans="1:68" ht="20.25" customHeight="1">
      <c r="A42" s="100">
        <v>12</v>
      </c>
      <c r="B42" s="100" t="s">
        <v>35</v>
      </c>
      <c r="C42" s="100" t="s">
        <v>1937</v>
      </c>
      <c r="D42" s="102" t="s">
        <v>164</v>
      </c>
      <c r="E42" s="100" t="str">
        <f t="shared" si="0"/>
        <v>Sama</v>
      </c>
      <c r="F42" s="63">
        <f t="shared" si="26"/>
        <v>35</v>
      </c>
      <c r="G42" s="63">
        <v>12</v>
      </c>
      <c r="H42" s="62" t="s">
        <v>35</v>
      </c>
      <c r="I42" s="62" t="s">
        <v>164</v>
      </c>
      <c r="J42" s="66"/>
      <c r="K42" s="533" t="s">
        <v>123</v>
      </c>
      <c r="L42" s="68">
        <f t="shared" si="27"/>
        <v>0</v>
      </c>
      <c r="M42" s="63"/>
      <c r="N42" s="365">
        <f t="shared" si="28"/>
        <v>2018</v>
      </c>
      <c r="O42" s="531" t="s">
        <v>165</v>
      </c>
      <c r="P42" s="68"/>
      <c r="Q42" s="68"/>
      <c r="R42" s="68"/>
      <c r="S42" s="68">
        <f t="shared" si="29"/>
        <v>0</v>
      </c>
      <c r="T42" s="63"/>
      <c r="U42" s="347"/>
      <c r="V42" s="370"/>
      <c r="W42" s="370"/>
      <c r="X42" s="370"/>
      <c r="Y42" s="68">
        <f t="shared" si="38"/>
        <v>0</v>
      </c>
      <c r="Z42" s="345"/>
      <c r="AA42" s="347"/>
      <c r="AB42" s="345"/>
      <c r="AC42" s="345"/>
      <c r="AD42" s="345"/>
      <c r="AE42" s="68">
        <f t="shared" si="39"/>
        <v>0</v>
      </c>
      <c r="AF42" s="366" t="s">
        <v>1097</v>
      </c>
      <c r="AG42" s="358"/>
      <c r="AH42" s="359"/>
      <c r="AI42" s="360"/>
      <c r="AJ42" s="360"/>
      <c r="AK42" s="360" t="str">
        <f t="shared" si="30"/>
        <v/>
      </c>
      <c r="AL42" s="18" t="s">
        <v>1155</v>
      </c>
      <c r="AM42" s="360" t="str">
        <f t="shared" si="31"/>
        <v>2</v>
      </c>
      <c r="AN42" s="360" t="str">
        <f t="shared" si="32"/>
        <v>2</v>
      </c>
      <c r="AO42" s="360"/>
      <c r="AP42" s="346" t="str">
        <f t="shared" si="33"/>
        <v>2</v>
      </c>
      <c r="AQ42" s="360" t="str">
        <f t="shared" si="34"/>
        <v>2.2..2</v>
      </c>
      <c r="AR42" s="530"/>
      <c r="AS42" s="360"/>
      <c r="AT42" s="362"/>
      <c r="AU42" s="362"/>
      <c r="AV42" s="362"/>
      <c r="AW42" s="362"/>
      <c r="AX42" s="362"/>
      <c r="AY42" s="362"/>
      <c r="AZ42" s="362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</row>
    <row r="43" spans="1:68" ht="20.25" customHeight="1">
      <c r="A43" s="100">
        <v>12</v>
      </c>
      <c r="B43" s="100" t="s">
        <v>35</v>
      </c>
      <c r="C43" s="100" t="s">
        <v>1938</v>
      </c>
      <c r="D43" s="102" t="s">
        <v>1939</v>
      </c>
      <c r="E43" s="100" t="str">
        <f t="shared" si="0"/>
        <v>Sama</v>
      </c>
      <c r="F43" s="63">
        <f t="shared" si="26"/>
        <v>36</v>
      </c>
      <c r="G43" s="63">
        <v>13</v>
      </c>
      <c r="H43" s="62" t="s">
        <v>35</v>
      </c>
      <c r="I43" s="62" t="s">
        <v>1939</v>
      </c>
      <c r="J43" s="66">
        <v>72.74749021292601</v>
      </c>
      <c r="K43" s="533" t="s">
        <v>104</v>
      </c>
      <c r="L43" s="68">
        <f t="shared" si="27"/>
        <v>359.61</v>
      </c>
      <c r="M43" s="63"/>
      <c r="N43" s="365">
        <f t="shared" si="28"/>
        <v>2013</v>
      </c>
      <c r="O43" s="531" t="s">
        <v>167</v>
      </c>
      <c r="P43" s="68">
        <v>359.61</v>
      </c>
      <c r="Q43" s="68">
        <v>0</v>
      </c>
      <c r="R43" s="68">
        <v>359.61</v>
      </c>
      <c r="S43" s="68">
        <f t="shared" si="29"/>
        <v>359.61</v>
      </c>
      <c r="T43" s="63"/>
      <c r="U43" s="347"/>
      <c r="V43" s="370"/>
      <c r="W43" s="370"/>
      <c r="X43" s="370"/>
      <c r="Y43" s="68">
        <f t="shared" si="38"/>
        <v>0</v>
      </c>
      <c r="Z43" s="345"/>
      <c r="AA43" s="347"/>
      <c r="AB43" s="345"/>
      <c r="AC43" s="345"/>
      <c r="AD43" s="345"/>
      <c r="AE43" s="68">
        <f t="shared" si="39"/>
        <v>0</v>
      </c>
      <c r="AF43" s="366" t="s">
        <v>1097</v>
      </c>
      <c r="AG43" s="358"/>
      <c r="AH43" s="359"/>
      <c r="AI43" s="360"/>
      <c r="AJ43" s="360"/>
      <c r="AK43" s="360" t="str">
        <f t="shared" si="30"/>
        <v/>
      </c>
      <c r="AL43" s="18"/>
      <c r="AM43" s="360" t="str">
        <f t="shared" si="31"/>
        <v>2</v>
      </c>
      <c r="AN43" s="360" t="str">
        <f t="shared" si="32"/>
        <v>1</v>
      </c>
      <c r="AO43" s="360"/>
      <c r="AP43" s="346" t="str">
        <f t="shared" si="33"/>
        <v>2</v>
      </c>
      <c r="AQ43" s="360" t="str">
        <f t="shared" si="34"/>
        <v>2.1..2</v>
      </c>
      <c r="AR43" s="530"/>
      <c r="AS43" s="360"/>
      <c r="AT43" s="362"/>
      <c r="AU43" s="362"/>
      <c r="AV43" s="362"/>
      <c r="AW43" s="362"/>
      <c r="AX43" s="362"/>
      <c r="AY43" s="362"/>
      <c r="AZ43" s="362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</row>
    <row r="44" spans="1:68" ht="20.25" customHeight="1">
      <c r="A44" s="100">
        <v>12</v>
      </c>
      <c r="B44" s="100" t="s">
        <v>35</v>
      </c>
      <c r="C44" s="100" t="s">
        <v>1940</v>
      </c>
      <c r="D44" s="102" t="s">
        <v>168</v>
      </c>
      <c r="E44" s="100" t="str">
        <f t="shared" si="0"/>
        <v>Sama</v>
      </c>
      <c r="F44" s="63">
        <f t="shared" si="26"/>
        <v>37</v>
      </c>
      <c r="G44" s="63">
        <v>14</v>
      </c>
      <c r="H44" s="62" t="s">
        <v>35</v>
      </c>
      <c r="I44" s="62" t="s">
        <v>168</v>
      </c>
      <c r="J44" s="66">
        <v>255.6425843877</v>
      </c>
      <c r="K44" s="533" t="s">
        <v>91</v>
      </c>
      <c r="L44" s="68">
        <f t="shared" si="27"/>
        <v>230.29</v>
      </c>
      <c r="M44" s="63"/>
      <c r="N44" s="365">
        <f t="shared" si="28"/>
        <v>2013</v>
      </c>
      <c r="O44" s="531" t="s">
        <v>1158</v>
      </c>
      <c r="P44" s="68"/>
      <c r="Q44" s="68"/>
      <c r="R44" s="68"/>
      <c r="S44" s="68">
        <f t="shared" si="29"/>
        <v>0</v>
      </c>
      <c r="T44" s="63" t="s">
        <v>1076</v>
      </c>
      <c r="U44" s="347" t="s">
        <v>169</v>
      </c>
      <c r="V44" s="370">
        <v>230.29</v>
      </c>
      <c r="W44" s="370">
        <v>0</v>
      </c>
      <c r="X44" s="370">
        <v>0</v>
      </c>
      <c r="Y44" s="68">
        <f t="shared" si="38"/>
        <v>230.29</v>
      </c>
      <c r="Z44" s="345"/>
      <c r="AA44" s="347"/>
      <c r="AB44" s="345"/>
      <c r="AC44" s="345"/>
      <c r="AD44" s="345"/>
      <c r="AE44" s="68">
        <f t="shared" si="39"/>
        <v>0</v>
      </c>
      <c r="AF44" s="366">
        <v>2020</v>
      </c>
      <c r="AG44" s="358"/>
      <c r="AH44" s="359"/>
      <c r="AI44" s="360"/>
      <c r="AJ44" s="360"/>
      <c r="AK44" s="360" t="str">
        <f t="shared" si="30"/>
        <v>V</v>
      </c>
      <c r="AL44" s="18"/>
      <c r="AM44" s="360" t="str">
        <f t="shared" si="31"/>
        <v>2</v>
      </c>
      <c r="AN44" s="360" t="str">
        <f t="shared" si="32"/>
        <v>2</v>
      </c>
      <c r="AO44" s="360"/>
      <c r="AP44" s="346" t="str">
        <f t="shared" si="33"/>
        <v>1</v>
      </c>
      <c r="AQ44" s="360" t="str">
        <f t="shared" si="34"/>
        <v>2.2..1</v>
      </c>
      <c r="AR44" s="530"/>
      <c r="AS44" s="362" t="s">
        <v>265</v>
      </c>
      <c r="AT44" s="362">
        <v>256</v>
      </c>
      <c r="AU44" s="362">
        <v>230</v>
      </c>
      <c r="AV44" s="368">
        <f>AU44/AT44</f>
        <v>0.8984375</v>
      </c>
      <c r="AW44" s="362">
        <v>210</v>
      </c>
      <c r="AX44" s="368">
        <f>AW44/AT44</f>
        <v>0.8203125</v>
      </c>
      <c r="AY44" s="362">
        <v>45</v>
      </c>
      <c r="AZ44" s="368">
        <f>AY44/AT44</f>
        <v>0.17578125</v>
      </c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</row>
    <row r="45" spans="1:68" ht="20.25" customHeight="1">
      <c r="A45" s="100">
        <v>12</v>
      </c>
      <c r="B45" s="100" t="s">
        <v>35</v>
      </c>
      <c r="C45" s="369">
        <v>45211</v>
      </c>
      <c r="D45" s="102" t="s">
        <v>170</v>
      </c>
      <c r="E45" s="100" t="str">
        <f t="shared" si="0"/>
        <v>Beda</v>
      </c>
      <c r="F45" s="63">
        <f t="shared" si="26"/>
        <v>38</v>
      </c>
      <c r="G45" s="63">
        <v>15</v>
      </c>
      <c r="H45" s="62" t="s">
        <v>35</v>
      </c>
      <c r="I45" s="62" t="s">
        <v>1941</v>
      </c>
      <c r="J45" s="66">
        <v>16244.202746448878</v>
      </c>
      <c r="K45" s="533" t="s">
        <v>661</v>
      </c>
      <c r="L45" s="68">
        <f t="shared" si="27"/>
        <v>0</v>
      </c>
      <c r="M45" s="63"/>
      <c r="N45" s="365" t="e">
        <f t="shared" si="28"/>
        <v>#VALUE!</v>
      </c>
      <c r="O45" s="382"/>
      <c r="P45" s="68"/>
      <c r="Q45" s="68"/>
      <c r="R45" s="68"/>
      <c r="S45" s="68">
        <f t="shared" si="29"/>
        <v>0</v>
      </c>
      <c r="T45" s="63"/>
      <c r="U45" s="347"/>
      <c r="V45" s="370"/>
      <c r="W45" s="370"/>
      <c r="X45" s="370"/>
      <c r="Y45" s="68">
        <f t="shared" si="38"/>
        <v>0</v>
      </c>
      <c r="Z45" s="345"/>
      <c r="AA45" s="347"/>
      <c r="AB45" s="345"/>
      <c r="AC45" s="345"/>
      <c r="AD45" s="345"/>
      <c r="AE45" s="68">
        <f t="shared" si="39"/>
        <v>0</v>
      </c>
      <c r="AF45" s="366">
        <v>2023</v>
      </c>
      <c r="AG45" s="358" t="s">
        <v>1160</v>
      </c>
      <c r="AH45" s="359"/>
      <c r="AI45" s="360"/>
      <c r="AJ45" s="360"/>
      <c r="AK45" s="360" t="str">
        <f t="shared" si="30"/>
        <v/>
      </c>
      <c r="AL45" s="18"/>
      <c r="AM45" s="360" t="e">
        <f t="shared" si="31"/>
        <v>#VALUE!</v>
      </c>
      <c r="AN45" s="360" t="str">
        <f t="shared" si="32"/>
        <v>2</v>
      </c>
      <c r="AO45" s="360"/>
      <c r="AP45" s="346" t="str">
        <f t="shared" si="33"/>
        <v>2</v>
      </c>
      <c r="AQ45" s="360" t="e">
        <f t="shared" si="34"/>
        <v>#VALUE!</v>
      </c>
      <c r="AR45" s="530"/>
      <c r="AS45" s="360"/>
      <c r="AT45" s="362"/>
      <c r="AU45" s="362"/>
      <c r="AV45" s="362"/>
      <c r="AW45" s="362"/>
      <c r="AX45" s="362"/>
      <c r="AY45" s="362"/>
      <c r="AZ45" s="362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</row>
    <row r="46" spans="1:68" ht="20.25" customHeight="1">
      <c r="A46" s="100">
        <v>12</v>
      </c>
      <c r="B46" s="100" t="s">
        <v>35</v>
      </c>
      <c r="C46" s="100" t="s">
        <v>1942</v>
      </c>
      <c r="D46" s="102" t="s">
        <v>172</v>
      </c>
      <c r="E46" s="100" t="str">
        <f t="shared" si="0"/>
        <v>Beda</v>
      </c>
      <c r="F46" s="63">
        <f t="shared" si="26"/>
        <v>39</v>
      </c>
      <c r="G46" s="63">
        <v>16</v>
      </c>
      <c r="H46" s="62" t="s">
        <v>35</v>
      </c>
      <c r="I46" s="62" t="s">
        <v>1943</v>
      </c>
      <c r="J46" s="66">
        <v>174.52515702439661</v>
      </c>
      <c r="K46" s="533" t="s">
        <v>123</v>
      </c>
      <c r="L46" s="68">
        <f t="shared" si="27"/>
        <v>0</v>
      </c>
      <c r="M46" s="63"/>
      <c r="N46" s="365">
        <f t="shared" si="28"/>
        <v>2017</v>
      </c>
      <c r="O46" s="531" t="s">
        <v>173</v>
      </c>
      <c r="P46" s="68"/>
      <c r="Q46" s="68"/>
      <c r="R46" s="68"/>
      <c r="S46" s="68">
        <f t="shared" si="29"/>
        <v>0</v>
      </c>
      <c r="T46" s="63"/>
      <c r="U46" s="347"/>
      <c r="V46" s="370"/>
      <c r="W46" s="370"/>
      <c r="X46" s="370"/>
      <c r="Y46" s="68">
        <f t="shared" si="38"/>
        <v>0</v>
      </c>
      <c r="Z46" s="345"/>
      <c r="AA46" s="347"/>
      <c r="AB46" s="345"/>
      <c r="AC46" s="345"/>
      <c r="AD46" s="345"/>
      <c r="AE46" s="68">
        <f t="shared" si="39"/>
        <v>0</v>
      </c>
      <c r="AF46" s="366" t="s">
        <v>1097</v>
      </c>
      <c r="AG46" s="358"/>
      <c r="AH46" s="359"/>
      <c r="AI46" s="360"/>
      <c r="AJ46" s="360"/>
      <c r="AK46" s="360" t="str">
        <f t="shared" si="30"/>
        <v/>
      </c>
      <c r="AL46" s="18"/>
      <c r="AM46" s="360" t="str">
        <f t="shared" si="31"/>
        <v>2</v>
      </c>
      <c r="AN46" s="360" t="str">
        <f t="shared" si="32"/>
        <v>2</v>
      </c>
      <c r="AO46" s="360"/>
      <c r="AP46" s="346" t="str">
        <f t="shared" si="33"/>
        <v>2</v>
      </c>
      <c r="AQ46" s="360" t="str">
        <f t="shared" si="34"/>
        <v>2.2..2</v>
      </c>
      <c r="AR46" s="530"/>
      <c r="AS46" s="360"/>
      <c r="AT46" s="362"/>
      <c r="AU46" s="362"/>
      <c r="AV46" s="362"/>
      <c r="AW46" s="362"/>
      <c r="AX46" s="362"/>
      <c r="AY46" s="362"/>
      <c r="AZ46" s="362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</row>
    <row r="47" spans="1:68" ht="20.25" customHeight="1">
      <c r="A47" s="100">
        <v>12</v>
      </c>
      <c r="B47" s="100" t="s">
        <v>35</v>
      </c>
      <c r="C47" s="100" t="s">
        <v>1944</v>
      </c>
      <c r="D47" s="102" t="s">
        <v>174</v>
      </c>
      <c r="E47" s="100" t="str">
        <f t="shared" si="0"/>
        <v>Beda</v>
      </c>
      <c r="F47" s="63">
        <f t="shared" si="26"/>
        <v>40</v>
      </c>
      <c r="G47" s="63">
        <v>17</v>
      </c>
      <c r="H47" s="62" t="s">
        <v>35</v>
      </c>
      <c r="I47" s="62" t="s">
        <v>1945</v>
      </c>
      <c r="J47" s="66">
        <v>11992.592601741591</v>
      </c>
      <c r="K47" s="533" t="s">
        <v>123</v>
      </c>
      <c r="L47" s="68">
        <f t="shared" si="27"/>
        <v>0</v>
      </c>
      <c r="M47" s="63"/>
      <c r="N47" s="365">
        <f t="shared" si="28"/>
        <v>2015</v>
      </c>
      <c r="O47" s="531" t="s">
        <v>175</v>
      </c>
      <c r="P47" s="68"/>
      <c r="Q47" s="68"/>
      <c r="R47" s="68"/>
      <c r="S47" s="68">
        <f t="shared" si="29"/>
        <v>0</v>
      </c>
      <c r="T47" s="63"/>
      <c r="U47" s="347"/>
      <c r="V47" s="370"/>
      <c r="W47" s="370"/>
      <c r="X47" s="370"/>
      <c r="Y47" s="68">
        <f t="shared" si="38"/>
        <v>0</v>
      </c>
      <c r="Z47" s="345"/>
      <c r="AA47" s="347"/>
      <c r="AB47" s="345"/>
      <c r="AC47" s="345"/>
      <c r="AD47" s="345"/>
      <c r="AE47" s="68">
        <f t="shared" si="39"/>
        <v>0</v>
      </c>
      <c r="AF47" s="366" t="s">
        <v>1097</v>
      </c>
      <c r="AG47" s="358"/>
      <c r="AH47" s="359"/>
      <c r="AI47" s="360"/>
      <c r="AJ47" s="360"/>
      <c r="AK47" s="360" t="str">
        <f t="shared" si="30"/>
        <v/>
      </c>
      <c r="AL47" s="18"/>
      <c r="AM47" s="360" t="str">
        <f t="shared" si="31"/>
        <v>2</v>
      </c>
      <c r="AN47" s="360" t="str">
        <f t="shared" si="32"/>
        <v>2</v>
      </c>
      <c r="AO47" s="360"/>
      <c r="AP47" s="346" t="str">
        <f t="shared" si="33"/>
        <v>2</v>
      </c>
      <c r="AQ47" s="360" t="str">
        <f t="shared" si="34"/>
        <v>2.2..2</v>
      </c>
      <c r="AR47" s="530"/>
      <c r="AS47" s="360"/>
      <c r="AT47" s="362"/>
      <c r="AU47" s="362"/>
      <c r="AV47" s="362"/>
      <c r="AW47" s="362"/>
      <c r="AX47" s="362"/>
      <c r="AY47" s="362"/>
      <c r="AZ47" s="362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</row>
    <row r="48" spans="1:68" ht="20.25" customHeight="1">
      <c r="A48" s="100">
        <v>12</v>
      </c>
      <c r="B48" s="100" t="s">
        <v>35</v>
      </c>
      <c r="C48" s="363">
        <v>45058</v>
      </c>
      <c r="D48" s="102" t="s">
        <v>176</v>
      </c>
      <c r="E48" s="100" t="str">
        <f t="shared" si="0"/>
        <v>Sama</v>
      </c>
      <c r="F48" s="63">
        <f t="shared" si="26"/>
        <v>41</v>
      </c>
      <c r="G48" s="63">
        <v>18</v>
      </c>
      <c r="H48" s="62" t="s">
        <v>35</v>
      </c>
      <c r="I48" s="62" t="s">
        <v>176</v>
      </c>
      <c r="J48" s="66">
        <v>19432.11538486222</v>
      </c>
      <c r="K48" s="533" t="s">
        <v>91</v>
      </c>
      <c r="L48" s="68">
        <f t="shared" si="27"/>
        <v>22959.02</v>
      </c>
      <c r="M48" s="63"/>
      <c r="N48" s="365">
        <f t="shared" si="28"/>
        <v>2013</v>
      </c>
      <c r="O48" s="531" t="s">
        <v>941</v>
      </c>
      <c r="P48" s="68"/>
      <c r="Q48" s="68"/>
      <c r="R48" s="68"/>
      <c r="S48" s="68">
        <f t="shared" si="29"/>
        <v>0</v>
      </c>
      <c r="T48" s="63"/>
      <c r="U48" s="347"/>
      <c r="V48" s="370"/>
      <c r="W48" s="370"/>
      <c r="X48" s="370"/>
      <c r="Y48" s="68">
        <f t="shared" si="38"/>
        <v>0</v>
      </c>
      <c r="Z48" s="345" t="s">
        <v>1076</v>
      </c>
      <c r="AA48" s="347" t="s">
        <v>177</v>
      </c>
      <c r="AB48" s="345">
        <v>22959.02</v>
      </c>
      <c r="AC48" s="345"/>
      <c r="AD48" s="345"/>
      <c r="AE48" s="68">
        <f t="shared" si="39"/>
        <v>22959.02</v>
      </c>
      <c r="AF48" s="364">
        <v>2021</v>
      </c>
      <c r="AG48" s="344"/>
      <c r="AH48" s="84"/>
      <c r="AI48" s="63"/>
      <c r="AJ48" s="63"/>
      <c r="AK48" s="63" t="str">
        <f t="shared" si="30"/>
        <v>V</v>
      </c>
      <c r="AL48" s="47"/>
      <c r="AM48" s="63" t="str">
        <f t="shared" si="31"/>
        <v>2</v>
      </c>
      <c r="AN48" s="63" t="str">
        <f t="shared" si="32"/>
        <v>2</v>
      </c>
      <c r="AO48" s="63"/>
      <c r="AP48" s="346" t="str">
        <f t="shared" si="33"/>
        <v>1</v>
      </c>
      <c r="AQ48" s="63" t="str">
        <f t="shared" si="34"/>
        <v>2.2..1</v>
      </c>
      <c r="AR48" s="534"/>
      <c r="AS48" s="64" t="s">
        <v>1946</v>
      </c>
      <c r="AT48" s="95">
        <v>19442.61</v>
      </c>
      <c r="AU48" s="95">
        <v>22959.02</v>
      </c>
      <c r="AV48" s="371">
        <f t="shared" ref="AV48:AV49" si="40">AU48/AT48</f>
        <v>1.1808610058011759</v>
      </c>
      <c r="AW48" s="95">
        <v>19034</v>
      </c>
      <c r="AX48" s="371"/>
      <c r="AY48" s="95">
        <v>409</v>
      </c>
      <c r="AZ48" s="371">
        <f t="shared" ref="AZ48:AZ49" si="41">AY48/AT48</f>
        <v>2.1036270336132853E-2</v>
      </c>
      <c r="BA48" s="47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</row>
    <row r="49" spans="1:68" ht="20.25" customHeight="1">
      <c r="A49" s="100">
        <v>12</v>
      </c>
      <c r="B49" s="100" t="s">
        <v>35</v>
      </c>
      <c r="C49" s="100" t="s">
        <v>1947</v>
      </c>
      <c r="D49" s="102" t="s">
        <v>178</v>
      </c>
      <c r="E49" s="100" t="str">
        <f t="shared" si="0"/>
        <v>Sama</v>
      </c>
      <c r="F49" s="63">
        <f t="shared" si="26"/>
        <v>42</v>
      </c>
      <c r="G49" s="63">
        <v>19</v>
      </c>
      <c r="H49" s="62" t="s">
        <v>35</v>
      </c>
      <c r="I49" s="62" t="s">
        <v>178</v>
      </c>
      <c r="J49" s="66">
        <v>11581.041967391473</v>
      </c>
      <c r="K49" s="533" t="s">
        <v>91</v>
      </c>
      <c r="L49" s="68">
        <f t="shared" si="27"/>
        <v>12790.44</v>
      </c>
      <c r="M49" s="63"/>
      <c r="N49" s="365" t="e">
        <f t="shared" si="28"/>
        <v>#VALUE!</v>
      </c>
      <c r="O49" s="382"/>
      <c r="P49" s="68"/>
      <c r="Q49" s="68"/>
      <c r="R49" s="68"/>
      <c r="S49" s="68">
        <f t="shared" si="29"/>
        <v>0</v>
      </c>
      <c r="T49" s="63"/>
      <c r="U49" s="347"/>
      <c r="V49" s="370"/>
      <c r="W49" s="370"/>
      <c r="X49" s="370"/>
      <c r="Y49" s="68">
        <f t="shared" si="38"/>
        <v>0</v>
      </c>
      <c r="Z49" s="345" t="s">
        <v>1076</v>
      </c>
      <c r="AA49" s="347" t="s">
        <v>179</v>
      </c>
      <c r="AB49" s="345">
        <v>12790.44</v>
      </c>
      <c r="AC49" s="345"/>
      <c r="AD49" s="345"/>
      <c r="AE49" s="68">
        <f t="shared" si="39"/>
        <v>12790.44</v>
      </c>
      <c r="AF49" s="364">
        <v>2021</v>
      </c>
      <c r="AG49" s="344"/>
      <c r="AH49" s="84"/>
      <c r="AI49" s="63"/>
      <c r="AJ49" s="63"/>
      <c r="AK49" s="63" t="str">
        <f t="shared" si="30"/>
        <v>V</v>
      </c>
      <c r="AL49" s="47"/>
      <c r="AM49" s="63" t="e">
        <f t="shared" si="31"/>
        <v>#VALUE!</v>
      </c>
      <c r="AN49" s="63" t="str">
        <f t="shared" si="32"/>
        <v>2</v>
      </c>
      <c r="AO49" s="63"/>
      <c r="AP49" s="346" t="str">
        <f t="shared" si="33"/>
        <v>1</v>
      </c>
      <c r="AQ49" s="63" t="e">
        <f t="shared" si="34"/>
        <v>#VALUE!</v>
      </c>
      <c r="AR49" s="534"/>
      <c r="AS49" s="64" t="s">
        <v>1948</v>
      </c>
      <c r="AT49" s="95">
        <v>11581.04</v>
      </c>
      <c r="AU49" s="95">
        <v>12790.44</v>
      </c>
      <c r="AV49" s="371">
        <f t="shared" si="40"/>
        <v>1.1044293085940469</v>
      </c>
      <c r="AW49" s="95">
        <v>10812</v>
      </c>
      <c r="AX49" s="371"/>
      <c r="AY49" s="95">
        <v>769</v>
      </c>
      <c r="AZ49" s="371">
        <f t="shared" si="41"/>
        <v>6.6401635777097734E-2</v>
      </c>
      <c r="BA49" s="47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</row>
    <row r="50" spans="1:68" ht="20.25" customHeight="1">
      <c r="A50" s="100">
        <v>12</v>
      </c>
      <c r="B50" s="100" t="s">
        <v>35</v>
      </c>
      <c r="C50" s="363">
        <v>45028</v>
      </c>
      <c r="D50" s="102" t="s">
        <v>180</v>
      </c>
      <c r="E50" s="100" t="str">
        <f t="shared" si="0"/>
        <v>Sama</v>
      </c>
      <c r="F50" s="63">
        <f t="shared" si="26"/>
        <v>43</v>
      </c>
      <c r="G50" s="63">
        <v>20</v>
      </c>
      <c r="H50" s="62" t="s">
        <v>35</v>
      </c>
      <c r="I50" s="62" t="s">
        <v>180</v>
      </c>
      <c r="J50" s="66">
        <v>5985.3309156194109</v>
      </c>
      <c r="K50" s="533" t="s">
        <v>104</v>
      </c>
      <c r="L50" s="68">
        <f t="shared" si="27"/>
        <v>7119.53</v>
      </c>
      <c r="M50" s="63"/>
      <c r="N50" s="365">
        <f t="shared" si="28"/>
        <v>2014</v>
      </c>
      <c r="O50" s="531" t="s">
        <v>321</v>
      </c>
      <c r="P50" s="68">
        <v>7119.53</v>
      </c>
      <c r="Q50" s="68">
        <v>0</v>
      </c>
      <c r="R50" s="68">
        <v>7119.53</v>
      </c>
      <c r="S50" s="68">
        <f t="shared" si="29"/>
        <v>7119.53</v>
      </c>
      <c r="T50" s="63"/>
      <c r="U50" s="347" t="s">
        <v>349</v>
      </c>
      <c r="V50" s="631" t="s">
        <v>1166</v>
      </c>
      <c r="W50" s="564"/>
      <c r="X50" s="559"/>
      <c r="Y50" s="68"/>
      <c r="Z50" s="345"/>
      <c r="AA50" s="347"/>
      <c r="AB50" s="345"/>
      <c r="AC50" s="345"/>
      <c r="AD50" s="345"/>
      <c r="AE50" s="68"/>
      <c r="AF50" s="366" t="s">
        <v>1129</v>
      </c>
      <c r="AG50" s="358" t="s">
        <v>1090</v>
      </c>
      <c r="AH50" s="359"/>
      <c r="AI50" s="360"/>
      <c r="AJ50" s="360"/>
      <c r="AK50" s="360" t="str">
        <f t="shared" si="30"/>
        <v/>
      </c>
      <c r="AL50" s="18"/>
      <c r="AM50" s="360" t="str">
        <f t="shared" si="31"/>
        <v>2</v>
      </c>
      <c r="AN50" s="360" t="str">
        <f t="shared" si="32"/>
        <v>1</v>
      </c>
      <c r="AO50" s="360"/>
      <c r="AP50" s="346" t="str">
        <f t="shared" si="33"/>
        <v>2</v>
      </c>
      <c r="AQ50" s="360" t="str">
        <f t="shared" si="34"/>
        <v>2.1..2</v>
      </c>
      <c r="AR50" s="530"/>
      <c r="AS50" s="360"/>
      <c r="AT50" s="362"/>
      <c r="AU50" s="362"/>
      <c r="AV50" s="362"/>
      <c r="AW50" s="362"/>
      <c r="AX50" s="362"/>
      <c r="AY50" s="362"/>
      <c r="AZ50" s="362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</row>
    <row r="51" spans="1:68" ht="20.25" customHeight="1">
      <c r="A51" s="100">
        <v>12</v>
      </c>
      <c r="B51" s="100" t="s">
        <v>35</v>
      </c>
      <c r="C51" s="100" t="s">
        <v>1949</v>
      </c>
      <c r="D51" s="102" t="s">
        <v>182</v>
      </c>
      <c r="E51" s="100" t="str">
        <f t="shared" si="0"/>
        <v>Sama</v>
      </c>
      <c r="F51" s="63">
        <f t="shared" si="26"/>
        <v>44</v>
      </c>
      <c r="G51" s="63">
        <v>21</v>
      </c>
      <c r="H51" s="62" t="s">
        <v>35</v>
      </c>
      <c r="I51" s="62" t="s">
        <v>182</v>
      </c>
      <c r="J51" s="66">
        <v>1803.7806697198953</v>
      </c>
      <c r="K51" s="533" t="s">
        <v>661</v>
      </c>
      <c r="L51" s="68">
        <f t="shared" si="27"/>
        <v>0</v>
      </c>
      <c r="M51" s="63"/>
      <c r="N51" s="365" t="e">
        <f t="shared" si="28"/>
        <v>#VALUE!</v>
      </c>
      <c r="O51" s="382"/>
      <c r="P51" s="68"/>
      <c r="Q51" s="68"/>
      <c r="R51" s="68"/>
      <c r="S51" s="68">
        <f t="shared" si="29"/>
        <v>0</v>
      </c>
      <c r="T51" s="63"/>
      <c r="U51" s="347"/>
      <c r="V51" s="370"/>
      <c r="W51" s="370"/>
      <c r="X51" s="370"/>
      <c r="Y51" s="68">
        <f t="shared" ref="Y51:Y63" si="42">IF(X51&gt;0,X51,IF(V51&gt;0,V51,0))</f>
        <v>0</v>
      </c>
      <c r="Z51" s="345"/>
      <c r="AA51" s="347"/>
      <c r="AB51" s="345"/>
      <c r="AC51" s="345"/>
      <c r="AD51" s="345"/>
      <c r="AE51" s="68">
        <f t="shared" ref="AE51:AE63" si="43">IF(AD51&gt;0,AD51,IF(AB51&gt;0,AB51,0))</f>
        <v>0</v>
      </c>
      <c r="AF51" s="366" t="s">
        <v>1129</v>
      </c>
      <c r="AG51" s="358" t="s">
        <v>1090</v>
      </c>
      <c r="AH51" s="359"/>
      <c r="AI51" s="360"/>
      <c r="AJ51" s="360"/>
      <c r="AK51" s="360" t="str">
        <f t="shared" si="30"/>
        <v/>
      </c>
      <c r="AL51" s="18"/>
      <c r="AM51" s="360" t="e">
        <f t="shared" si="31"/>
        <v>#VALUE!</v>
      </c>
      <c r="AN51" s="360" t="str">
        <f t="shared" si="32"/>
        <v>2</v>
      </c>
      <c r="AO51" s="360"/>
      <c r="AP51" s="346" t="str">
        <f t="shared" si="33"/>
        <v>2</v>
      </c>
      <c r="AQ51" s="360" t="e">
        <f t="shared" si="34"/>
        <v>#VALUE!</v>
      </c>
      <c r="AR51" s="530"/>
      <c r="AS51" s="360"/>
      <c r="AT51" s="362"/>
      <c r="AU51" s="362"/>
      <c r="AV51" s="362"/>
      <c r="AW51" s="362"/>
      <c r="AX51" s="362"/>
      <c r="AY51" s="362"/>
      <c r="AZ51" s="362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</row>
    <row r="52" spans="1:68" ht="20.25" customHeight="1">
      <c r="A52" s="100">
        <v>12</v>
      </c>
      <c r="B52" s="100" t="s">
        <v>35</v>
      </c>
      <c r="C52" s="100" t="s">
        <v>1950</v>
      </c>
      <c r="D52" s="102" t="s">
        <v>184</v>
      </c>
      <c r="E52" s="100" t="str">
        <f t="shared" si="0"/>
        <v>Sama</v>
      </c>
      <c r="F52" s="63">
        <f t="shared" si="26"/>
        <v>45</v>
      </c>
      <c r="G52" s="63">
        <v>22</v>
      </c>
      <c r="H52" s="62" t="s">
        <v>35</v>
      </c>
      <c r="I52" s="62" t="s">
        <v>184</v>
      </c>
      <c r="J52" s="66">
        <v>8619.8457677146998</v>
      </c>
      <c r="K52" s="533" t="s">
        <v>104</v>
      </c>
      <c r="L52" s="68">
        <f t="shared" si="27"/>
        <v>14925</v>
      </c>
      <c r="M52" s="63"/>
      <c r="N52" s="365">
        <f t="shared" si="28"/>
        <v>2014</v>
      </c>
      <c r="O52" s="382" t="s">
        <v>185</v>
      </c>
      <c r="P52" s="68">
        <v>14925</v>
      </c>
      <c r="Q52" s="68">
        <v>0</v>
      </c>
      <c r="R52" s="68">
        <v>14925</v>
      </c>
      <c r="S52" s="68">
        <f t="shared" si="29"/>
        <v>14925</v>
      </c>
      <c r="T52" s="63"/>
      <c r="U52" s="347"/>
      <c r="V52" s="370"/>
      <c r="W52" s="370"/>
      <c r="X52" s="370"/>
      <c r="Y52" s="68">
        <f t="shared" si="42"/>
        <v>0</v>
      </c>
      <c r="Z52" s="345"/>
      <c r="AA52" s="347"/>
      <c r="AB52" s="345"/>
      <c r="AC52" s="345"/>
      <c r="AD52" s="345"/>
      <c r="AE52" s="68">
        <f t="shared" si="43"/>
        <v>0</v>
      </c>
      <c r="AF52" s="366" t="s">
        <v>1129</v>
      </c>
      <c r="AG52" s="358" t="s">
        <v>1090</v>
      </c>
      <c r="AH52" s="359"/>
      <c r="AI52" s="360"/>
      <c r="AJ52" s="360"/>
      <c r="AK52" s="360" t="str">
        <f t="shared" si="30"/>
        <v/>
      </c>
      <c r="AL52" s="18"/>
      <c r="AM52" s="360" t="str">
        <f t="shared" si="31"/>
        <v>2</v>
      </c>
      <c r="AN52" s="360" t="str">
        <f t="shared" si="32"/>
        <v>1</v>
      </c>
      <c r="AO52" s="360"/>
      <c r="AP52" s="346" t="str">
        <f t="shared" si="33"/>
        <v>2</v>
      </c>
      <c r="AQ52" s="360" t="str">
        <f t="shared" si="34"/>
        <v>2.1..2</v>
      </c>
      <c r="AR52" s="530"/>
      <c r="AS52" s="360"/>
      <c r="AT52" s="362"/>
      <c r="AU52" s="362"/>
      <c r="AV52" s="362"/>
      <c r="AW52" s="362"/>
      <c r="AX52" s="362"/>
      <c r="AY52" s="362"/>
      <c r="AZ52" s="362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</row>
    <row r="53" spans="1:68" ht="20.25" customHeight="1">
      <c r="A53" s="100">
        <v>12</v>
      </c>
      <c r="B53" s="100" t="s">
        <v>35</v>
      </c>
      <c r="C53" s="100" t="s">
        <v>1951</v>
      </c>
      <c r="D53" s="102" t="s">
        <v>186</v>
      </c>
      <c r="E53" s="100" t="str">
        <f t="shared" si="0"/>
        <v>Sama</v>
      </c>
      <c r="F53" s="63">
        <f t="shared" si="26"/>
        <v>46</v>
      </c>
      <c r="G53" s="63">
        <v>23</v>
      </c>
      <c r="H53" s="62" t="s">
        <v>35</v>
      </c>
      <c r="I53" s="62" t="s">
        <v>186</v>
      </c>
      <c r="J53" s="66">
        <v>7172.868078957229</v>
      </c>
      <c r="K53" s="533" t="s">
        <v>123</v>
      </c>
      <c r="L53" s="68">
        <f t="shared" si="27"/>
        <v>0</v>
      </c>
      <c r="M53" s="63"/>
      <c r="N53" s="365" t="e">
        <f t="shared" si="28"/>
        <v>#VALUE!</v>
      </c>
      <c r="O53" s="382"/>
      <c r="P53" s="68"/>
      <c r="Q53" s="68"/>
      <c r="R53" s="68"/>
      <c r="S53" s="68">
        <f t="shared" si="29"/>
        <v>0</v>
      </c>
      <c r="T53" s="63"/>
      <c r="U53" s="347" t="s">
        <v>187</v>
      </c>
      <c r="V53" s="370">
        <v>0</v>
      </c>
      <c r="W53" s="370">
        <v>0</v>
      </c>
      <c r="X53" s="370">
        <v>0</v>
      </c>
      <c r="Y53" s="68">
        <f t="shared" si="42"/>
        <v>0</v>
      </c>
      <c r="Z53" s="345"/>
      <c r="AA53" s="347"/>
      <c r="AB53" s="345"/>
      <c r="AC53" s="345"/>
      <c r="AD53" s="345"/>
      <c r="AE53" s="68">
        <f t="shared" si="43"/>
        <v>0</v>
      </c>
      <c r="AF53" s="366" t="s">
        <v>1129</v>
      </c>
      <c r="AG53" s="358" t="s">
        <v>1090</v>
      </c>
      <c r="AH53" s="359"/>
      <c r="AI53" s="360"/>
      <c r="AJ53" s="360"/>
      <c r="AK53" s="360" t="str">
        <f t="shared" si="30"/>
        <v/>
      </c>
      <c r="AL53" s="18"/>
      <c r="AM53" s="360" t="e">
        <f t="shared" si="31"/>
        <v>#VALUE!</v>
      </c>
      <c r="AN53" s="360" t="str">
        <f t="shared" si="32"/>
        <v>2</v>
      </c>
      <c r="AO53" s="360"/>
      <c r="AP53" s="346" t="str">
        <f t="shared" si="33"/>
        <v>2</v>
      </c>
      <c r="AQ53" s="360" t="e">
        <f t="shared" si="34"/>
        <v>#VALUE!</v>
      </c>
      <c r="AR53" s="530"/>
      <c r="AS53" s="360"/>
      <c r="AT53" s="362"/>
      <c r="AU53" s="362"/>
      <c r="AV53" s="362"/>
      <c r="AW53" s="362"/>
      <c r="AX53" s="362"/>
      <c r="AY53" s="362"/>
      <c r="AZ53" s="362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</row>
    <row r="54" spans="1:68" ht="20.25" customHeight="1">
      <c r="A54" s="100">
        <v>12</v>
      </c>
      <c r="B54" s="100" t="s">
        <v>35</v>
      </c>
      <c r="C54" s="100" t="s">
        <v>1952</v>
      </c>
      <c r="D54" s="102" t="s">
        <v>188</v>
      </c>
      <c r="E54" s="100" t="str">
        <f t="shared" si="0"/>
        <v>Sama</v>
      </c>
      <c r="F54" s="63">
        <f t="shared" si="26"/>
        <v>47</v>
      </c>
      <c r="G54" s="63">
        <v>24</v>
      </c>
      <c r="H54" s="62" t="s">
        <v>35</v>
      </c>
      <c r="I54" s="62" t="s">
        <v>188</v>
      </c>
      <c r="J54" s="66">
        <v>5732.0075520253959</v>
      </c>
      <c r="K54" s="533" t="s">
        <v>661</v>
      </c>
      <c r="L54" s="68">
        <f t="shared" si="27"/>
        <v>0</v>
      </c>
      <c r="M54" s="63"/>
      <c r="N54" s="365" t="e">
        <f t="shared" si="28"/>
        <v>#VALUE!</v>
      </c>
      <c r="O54" s="382"/>
      <c r="P54" s="68"/>
      <c r="Q54" s="68"/>
      <c r="R54" s="68"/>
      <c r="S54" s="68">
        <f t="shared" si="29"/>
        <v>0</v>
      </c>
      <c r="T54" s="63"/>
      <c r="U54" s="347"/>
      <c r="V54" s="370"/>
      <c r="W54" s="370"/>
      <c r="X54" s="370"/>
      <c r="Y54" s="68">
        <f t="shared" si="42"/>
        <v>0</v>
      </c>
      <c r="Z54" s="345"/>
      <c r="AA54" s="347"/>
      <c r="AB54" s="345"/>
      <c r="AC54" s="345"/>
      <c r="AD54" s="345"/>
      <c r="AE54" s="68">
        <f t="shared" si="43"/>
        <v>0</v>
      </c>
      <c r="AF54" s="366" t="s">
        <v>1097</v>
      </c>
      <c r="AG54" s="358"/>
      <c r="AH54" s="359"/>
      <c r="AI54" s="360"/>
      <c r="AJ54" s="360"/>
      <c r="AK54" s="360" t="str">
        <f t="shared" si="30"/>
        <v/>
      </c>
      <c r="AL54" s="18"/>
      <c r="AM54" s="360" t="e">
        <f t="shared" si="31"/>
        <v>#VALUE!</v>
      </c>
      <c r="AN54" s="360" t="str">
        <f t="shared" si="32"/>
        <v>2</v>
      </c>
      <c r="AO54" s="360"/>
      <c r="AP54" s="346" t="str">
        <f t="shared" si="33"/>
        <v>2</v>
      </c>
      <c r="AQ54" s="360" t="e">
        <f t="shared" si="34"/>
        <v>#VALUE!</v>
      </c>
      <c r="AR54" s="530"/>
      <c r="AS54" s="360"/>
      <c r="AT54" s="362"/>
      <c r="AU54" s="362"/>
      <c r="AV54" s="362"/>
      <c r="AW54" s="362"/>
      <c r="AX54" s="362"/>
      <c r="AY54" s="362"/>
      <c r="AZ54" s="362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</row>
    <row r="55" spans="1:68" ht="20.25" customHeight="1">
      <c r="A55" s="100">
        <v>12</v>
      </c>
      <c r="B55" s="100" t="s">
        <v>35</v>
      </c>
      <c r="C55" s="100" t="s">
        <v>1953</v>
      </c>
      <c r="D55" s="102" t="s">
        <v>190</v>
      </c>
      <c r="E55" s="100" t="str">
        <f t="shared" si="0"/>
        <v>Sama</v>
      </c>
      <c r="F55" s="63">
        <f t="shared" si="26"/>
        <v>48</v>
      </c>
      <c r="G55" s="63">
        <v>25</v>
      </c>
      <c r="H55" s="62" t="s">
        <v>35</v>
      </c>
      <c r="I55" s="62" t="s">
        <v>190</v>
      </c>
      <c r="J55" s="66">
        <v>6853.9901522076962</v>
      </c>
      <c r="K55" s="533" t="s">
        <v>123</v>
      </c>
      <c r="L55" s="68">
        <f t="shared" si="27"/>
        <v>0</v>
      </c>
      <c r="M55" s="63"/>
      <c r="N55" s="365">
        <f t="shared" si="28"/>
        <v>2015</v>
      </c>
      <c r="O55" s="531" t="s">
        <v>212</v>
      </c>
      <c r="P55" s="68"/>
      <c r="Q55" s="68"/>
      <c r="R55" s="68"/>
      <c r="S55" s="68">
        <f t="shared" si="29"/>
        <v>0</v>
      </c>
      <c r="T55" s="63"/>
      <c r="U55" s="347" t="s">
        <v>191</v>
      </c>
      <c r="V55" s="370">
        <v>0</v>
      </c>
      <c r="W55" s="370">
        <v>0</v>
      </c>
      <c r="X55" s="370">
        <v>0</v>
      </c>
      <c r="Y55" s="68">
        <f t="shared" si="42"/>
        <v>0</v>
      </c>
      <c r="Z55" s="345"/>
      <c r="AA55" s="347"/>
      <c r="AB55" s="345"/>
      <c r="AC55" s="345"/>
      <c r="AD55" s="345"/>
      <c r="AE55" s="68">
        <f t="shared" si="43"/>
        <v>0</v>
      </c>
      <c r="AF55" s="366" t="s">
        <v>1097</v>
      </c>
      <c r="AG55" s="358"/>
      <c r="AH55" s="359"/>
      <c r="AI55" s="360"/>
      <c r="AJ55" s="360"/>
      <c r="AK55" s="360" t="str">
        <f t="shared" si="30"/>
        <v/>
      </c>
      <c r="AL55" s="18"/>
      <c r="AM55" s="360" t="str">
        <f t="shared" si="31"/>
        <v>2</v>
      </c>
      <c r="AN55" s="360" t="str">
        <f t="shared" si="32"/>
        <v>2</v>
      </c>
      <c r="AO55" s="360"/>
      <c r="AP55" s="346" t="str">
        <f t="shared" si="33"/>
        <v>2</v>
      </c>
      <c r="AQ55" s="360" t="str">
        <f t="shared" si="34"/>
        <v>2.2..2</v>
      </c>
      <c r="AR55" s="530"/>
      <c r="AS55" s="360"/>
      <c r="AT55" s="362"/>
      <c r="AU55" s="362"/>
      <c r="AV55" s="362"/>
      <c r="AW55" s="362"/>
      <c r="AX55" s="362"/>
      <c r="AY55" s="362"/>
      <c r="AZ55" s="362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</row>
    <row r="56" spans="1:68" ht="20.25" customHeight="1">
      <c r="A56" s="100">
        <v>12</v>
      </c>
      <c r="B56" s="100" t="s">
        <v>35</v>
      </c>
      <c r="C56" s="100" t="s">
        <v>1954</v>
      </c>
      <c r="D56" s="102" t="s">
        <v>192</v>
      </c>
      <c r="E56" s="100" t="str">
        <f t="shared" si="0"/>
        <v>Sama</v>
      </c>
      <c r="F56" s="63">
        <f t="shared" si="26"/>
        <v>49</v>
      </c>
      <c r="G56" s="63">
        <v>26</v>
      </c>
      <c r="H56" s="62" t="s">
        <v>35</v>
      </c>
      <c r="I56" s="62" t="s">
        <v>192</v>
      </c>
      <c r="J56" s="66">
        <v>1121.316687374479</v>
      </c>
      <c r="K56" s="533" t="s">
        <v>104</v>
      </c>
      <c r="L56" s="68">
        <f t="shared" si="27"/>
        <v>5093</v>
      </c>
      <c r="M56" s="63"/>
      <c r="N56" s="365">
        <f t="shared" si="28"/>
        <v>2016</v>
      </c>
      <c r="O56" s="531" t="s">
        <v>193</v>
      </c>
      <c r="P56" s="68">
        <v>5093</v>
      </c>
      <c r="Q56" s="68">
        <v>0</v>
      </c>
      <c r="R56" s="68">
        <v>5093</v>
      </c>
      <c r="S56" s="68">
        <f t="shared" si="29"/>
        <v>5093</v>
      </c>
      <c r="T56" s="63"/>
      <c r="U56" s="347"/>
      <c r="V56" s="370"/>
      <c r="W56" s="370"/>
      <c r="X56" s="370"/>
      <c r="Y56" s="68">
        <f t="shared" si="42"/>
        <v>0</v>
      </c>
      <c r="Z56" s="345"/>
      <c r="AA56" s="347"/>
      <c r="AB56" s="345"/>
      <c r="AC56" s="345"/>
      <c r="AD56" s="345"/>
      <c r="AE56" s="68">
        <f t="shared" si="43"/>
        <v>0</v>
      </c>
      <c r="AF56" s="366" t="s">
        <v>1097</v>
      </c>
      <c r="AG56" s="358"/>
      <c r="AH56" s="359"/>
      <c r="AI56" s="360"/>
      <c r="AJ56" s="360"/>
      <c r="AK56" s="360" t="str">
        <f t="shared" si="30"/>
        <v/>
      </c>
      <c r="AL56" s="18"/>
      <c r="AM56" s="360" t="str">
        <f t="shared" si="31"/>
        <v>2</v>
      </c>
      <c r="AN56" s="360" t="str">
        <f t="shared" si="32"/>
        <v>1</v>
      </c>
      <c r="AO56" s="360"/>
      <c r="AP56" s="346" t="str">
        <f t="shared" si="33"/>
        <v>2</v>
      </c>
      <c r="AQ56" s="360" t="str">
        <f t="shared" si="34"/>
        <v>2.1..2</v>
      </c>
      <c r="AR56" s="530"/>
      <c r="AS56" s="360"/>
      <c r="AT56" s="362"/>
      <c r="AU56" s="362"/>
      <c r="AV56" s="362"/>
      <c r="AW56" s="362"/>
      <c r="AX56" s="362"/>
      <c r="AY56" s="362"/>
      <c r="AZ56" s="362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</row>
    <row r="57" spans="1:68" ht="20.25" customHeight="1">
      <c r="A57" s="100">
        <v>12</v>
      </c>
      <c r="B57" s="100" t="s">
        <v>35</v>
      </c>
      <c r="C57" s="100" t="s">
        <v>1955</v>
      </c>
      <c r="D57" s="102" t="s">
        <v>194</v>
      </c>
      <c r="E57" s="100" t="str">
        <f t="shared" si="0"/>
        <v>Sama</v>
      </c>
      <c r="F57" s="63">
        <f t="shared" si="26"/>
        <v>50</v>
      </c>
      <c r="G57" s="63">
        <v>27</v>
      </c>
      <c r="H57" s="62" t="s">
        <v>35</v>
      </c>
      <c r="I57" s="64" t="s">
        <v>194</v>
      </c>
      <c r="J57" s="84">
        <v>7289.1745488215875</v>
      </c>
      <c r="K57" s="533" t="s">
        <v>91</v>
      </c>
      <c r="L57" s="68">
        <f>AE57</f>
        <v>17558</v>
      </c>
      <c r="M57" s="63"/>
      <c r="N57" s="365">
        <f t="shared" si="28"/>
        <v>2018</v>
      </c>
      <c r="O57" s="531" t="s">
        <v>438</v>
      </c>
      <c r="P57" s="68">
        <f t="shared" ref="P57:R57" si="44">SUM(P31:P56)</f>
        <v>27497.14</v>
      </c>
      <c r="Q57" s="68">
        <f t="shared" si="44"/>
        <v>0</v>
      </c>
      <c r="R57" s="68">
        <f t="shared" si="44"/>
        <v>94990.36</v>
      </c>
      <c r="S57" s="68">
        <f t="shared" si="29"/>
        <v>94990.36</v>
      </c>
      <c r="T57" s="63"/>
      <c r="U57" s="347"/>
      <c r="V57" s="370"/>
      <c r="W57" s="370"/>
      <c r="X57" s="370"/>
      <c r="Y57" s="68">
        <f t="shared" si="42"/>
        <v>0</v>
      </c>
      <c r="Z57" s="345" t="s">
        <v>1076</v>
      </c>
      <c r="AA57" s="347" t="s">
        <v>195</v>
      </c>
      <c r="AB57" s="345">
        <v>17558</v>
      </c>
      <c r="AC57" s="345"/>
      <c r="AD57" s="345"/>
      <c r="AE57" s="68">
        <f t="shared" si="43"/>
        <v>17558</v>
      </c>
      <c r="AF57" s="366">
        <v>2020</v>
      </c>
      <c r="AG57" s="358"/>
      <c r="AH57" s="359"/>
      <c r="AI57" s="360"/>
      <c r="AJ57" s="360"/>
      <c r="AK57" s="360" t="str">
        <f t="shared" si="30"/>
        <v>V</v>
      </c>
      <c r="AL57" s="18"/>
      <c r="AM57" s="360" t="str">
        <f t="shared" si="31"/>
        <v>2</v>
      </c>
      <c r="AN57" s="360" t="str">
        <f t="shared" si="32"/>
        <v>1</v>
      </c>
      <c r="AO57" s="360"/>
      <c r="AP57" s="346" t="str">
        <f t="shared" si="33"/>
        <v>1</v>
      </c>
      <c r="AQ57" s="360" t="str">
        <f t="shared" si="34"/>
        <v>2.1..1</v>
      </c>
      <c r="AR57" s="530"/>
      <c r="AS57" s="362" t="s">
        <v>1956</v>
      </c>
      <c r="AT57" s="367">
        <v>7289</v>
      </c>
      <c r="AU57" s="367">
        <v>17558</v>
      </c>
      <c r="AV57" s="368">
        <f t="shared" ref="AV57:AV58" si="45">AU57/AT57</f>
        <v>2.4088352311702566</v>
      </c>
      <c r="AW57" s="367">
        <v>5940</v>
      </c>
      <c r="AX57" s="368">
        <f t="shared" ref="AX57:AX58" si="46">AW57/AT57</f>
        <v>0.81492660172863218</v>
      </c>
      <c r="AY57" s="367">
        <v>1349</v>
      </c>
      <c r="AZ57" s="368">
        <f t="shared" ref="AZ57:AZ58" si="47">AY57/AT57</f>
        <v>0.18507339827136782</v>
      </c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</row>
    <row r="58" spans="1:68" ht="20.25" customHeight="1">
      <c r="A58" s="100">
        <v>12</v>
      </c>
      <c r="B58" s="100" t="s">
        <v>35</v>
      </c>
      <c r="C58" s="100" t="s">
        <v>1957</v>
      </c>
      <c r="D58" s="102" t="s">
        <v>196</v>
      </c>
      <c r="E58" s="100" t="str">
        <f t="shared" si="0"/>
        <v>Sama</v>
      </c>
      <c r="F58" s="63">
        <f t="shared" si="26"/>
        <v>51</v>
      </c>
      <c r="G58" s="63">
        <v>28</v>
      </c>
      <c r="H58" s="62" t="s">
        <v>35</v>
      </c>
      <c r="I58" s="62" t="s">
        <v>196</v>
      </c>
      <c r="J58" s="66">
        <v>28024.873580235962</v>
      </c>
      <c r="K58" s="533" t="s">
        <v>91</v>
      </c>
      <c r="L58" s="68">
        <f t="shared" ref="L58:L63" si="48">IF(S58&gt;0,S58,IF(Y58&gt;0,Y58,IF(AE58&gt;0,AE58,0)))</f>
        <v>29048</v>
      </c>
      <c r="M58" s="63" t="s">
        <v>1076</v>
      </c>
      <c r="N58" s="365">
        <f t="shared" si="28"/>
        <v>2021</v>
      </c>
      <c r="O58" s="531" t="s">
        <v>149</v>
      </c>
      <c r="P58" s="370">
        <v>0</v>
      </c>
      <c r="Q58" s="370">
        <v>0</v>
      </c>
      <c r="R58" s="370">
        <v>29048</v>
      </c>
      <c r="S58" s="68">
        <f t="shared" si="29"/>
        <v>29048</v>
      </c>
      <c r="T58" s="63"/>
      <c r="U58" s="347" t="s">
        <v>780</v>
      </c>
      <c r="V58" s="370">
        <v>0</v>
      </c>
      <c r="W58" s="370">
        <v>0</v>
      </c>
      <c r="X58" s="370">
        <v>0</v>
      </c>
      <c r="Y58" s="68">
        <f t="shared" si="42"/>
        <v>0</v>
      </c>
      <c r="Z58" s="345"/>
      <c r="AA58" s="347"/>
      <c r="AB58" s="345"/>
      <c r="AC58" s="345"/>
      <c r="AD58" s="345"/>
      <c r="AE58" s="68">
        <f t="shared" si="43"/>
        <v>0</v>
      </c>
      <c r="AF58" s="366">
        <v>2021</v>
      </c>
      <c r="AG58" s="358"/>
      <c r="AH58" s="359"/>
      <c r="AI58" s="360"/>
      <c r="AJ58" s="360"/>
      <c r="AK58" s="360" t="str">
        <f t="shared" si="30"/>
        <v>V</v>
      </c>
      <c r="AL58" s="18"/>
      <c r="AM58" s="360" t="str">
        <f t="shared" si="31"/>
        <v>1</v>
      </c>
      <c r="AN58" s="360" t="str">
        <f t="shared" si="32"/>
        <v>1</v>
      </c>
      <c r="AO58" s="360"/>
      <c r="AP58" s="346" t="str">
        <f t="shared" si="33"/>
        <v>2</v>
      </c>
      <c r="AQ58" s="360" t="str">
        <f t="shared" si="34"/>
        <v>1.1..2</v>
      </c>
      <c r="AR58" s="530"/>
      <c r="AS58" s="362" t="s">
        <v>149</v>
      </c>
      <c r="AT58" s="367">
        <v>28017</v>
      </c>
      <c r="AU58" s="367">
        <v>29071</v>
      </c>
      <c r="AV58" s="368">
        <f t="shared" si="45"/>
        <v>1.0376200164186029</v>
      </c>
      <c r="AW58" s="367">
        <v>25547</v>
      </c>
      <c r="AX58" s="368">
        <f t="shared" si="46"/>
        <v>0.91183924046114861</v>
      </c>
      <c r="AY58" s="367">
        <v>2470</v>
      </c>
      <c r="AZ58" s="368">
        <f t="shared" si="47"/>
        <v>8.8160759538851413E-2</v>
      </c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</row>
    <row r="59" spans="1:68" ht="20.25" customHeight="1">
      <c r="A59" s="100">
        <v>12</v>
      </c>
      <c r="B59" s="100" t="s">
        <v>35</v>
      </c>
      <c r="C59" s="363">
        <v>45150</v>
      </c>
      <c r="D59" s="102" t="s">
        <v>197</v>
      </c>
      <c r="E59" s="100" t="str">
        <f t="shared" si="0"/>
        <v>Sama</v>
      </c>
      <c r="F59" s="63">
        <f t="shared" si="26"/>
        <v>52</v>
      </c>
      <c r="G59" s="63">
        <v>29</v>
      </c>
      <c r="H59" s="62" t="s">
        <v>35</v>
      </c>
      <c r="I59" s="62" t="s">
        <v>197</v>
      </c>
      <c r="J59" s="66">
        <v>25342.688443598079</v>
      </c>
      <c r="K59" s="533" t="s">
        <v>123</v>
      </c>
      <c r="L59" s="68">
        <f t="shared" si="48"/>
        <v>0</v>
      </c>
      <c r="M59" s="63"/>
      <c r="N59" s="365">
        <f t="shared" si="28"/>
        <v>2017</v>
      </c>
      <c r="O59" s="347" t="s">
        <v>200</v>
      </c>
      <c r="P59" s="370"/>
      <c r="Q59" s="370"/>
      <c r="R59" s="370"/>
      <c r="S59" s="68">
        <f t="shared" si="29"/>
        <v>0</v>
      </c>
      <c r="T59" s="63"/>
      <c r="U59" s="347"/>
      <c r="V59" s="370"/>
      <c r="W59" s="370"/>
      <c r="X59" s="370"/>
      <c r="Y59" s="68">
        <f t="shared" si="42"/>
        <v>0</v>
      </c>
      <c r="Z59" s="345"/>
      <c r="AA59" s="347"/>
      <c r="AB59" s="345"/>
      <c r="AC59" s="345"/>
      <c r="AD59" s="345"/>
      <c r="AE59" s="68">
        <f t="shared" si="43"/>
        <v>0</v>
      </c>
      <c r="AF59" s="366" t="s">
        <v>1177</v>
      </c>
      <c r="AG59" s="358"/>
      <c r="AH59" s="359"/>
      <c r="AI59" s="360"/>
      <c r="AJ59" s="360"/>
      <c r="AK59" s="360" t="str">
        <f t="shared" si="30"/>
        <v/>
      </c>
      <c r="AL59" s="18"/>
      <c r="AM59" s="360" t="str">
        <f t="shared" si="31"/>
        <v>2</v>
      </c>
      <c r="AN59" s="360" t="str">
        <f t="shared" si="32"/>
        <v>2</v>
      </c>
      <c r="AO59" s="360"/>
      <c r="AP59" s="346" t="str">
        <f t="shared" si="33"/>
        <v>2</v>
      </c>
      <c r="AQ59" s="360" t="str">
        <f t="shared" si="34"/>
        <v>2.2..2</v>
      </c>
      <c r="AR59" s="530"/>
      <c r="AS59" s="360"/>
      <c r="AT59" s="362"/>
      <c r="AU59" s="362"/>
      <c r="AV59" s="362"/>
      <c r="AW59" s="362"/>
      <c r="AX59" s="362"/>
      <c r="AY59" s="362"/>
      <c r="AZ59" s="362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</row>
    <row r="60" spans="1:68" ht="20.25" customHeight="1">
      <c r="A60" s="100">
        <v>12</v>
      </c>
      <c r="B60" s="100" t="s">
        <v>35</v>
      </c>
      <c r="C60" s="363">
        <v>44997</v>
      </c>
      <c r="D60" s="102" t="s">
        <v>199</v>
      </c>
      <c r="E60" s="100" t="str">
        <f t="shared" si="0"/>
        <v>Sama</v>
      </c>
      <c r="F60" s="63">
        <f t="shared" si="26"/>
        <v>53</v>
      </c>
      <c r="G60" s="63">
        <v>30</v>
      </c>
      <c r="H60" s="62" t="s">
        <v>35</v>
      </c>
      <c r="I60" s="62" t="s">
        <v>199</v>
      </c>
      <c r="J60" s="66">
        <v>12377.260492368505</v>
      </c>
      <c r="K60" s="533" t="s">
        <v>661</v>
      </c>
      <c r="L60" s="68">
        <f t="shared" si="48"/>
        <v>0</v>
      </c>
      <c r="M60" s="63"/>
      <c r="N60" s="365" t="e">
        <f t="shared" si="28"/>
        <v>#VALUE!</v>
      </c>
      <c r="O60" s="102"/>
      <c r="P60" s="370"/>
      <c r="Q60" s="370"/>
      <c r="R60" s="370"/>
      <c r="S60" s="68">
        <f t="shared" si="29"/>
        <v>0</v>
      </c>
      <c r="T60" s="63"/>
      <c r="U60" s="347"/>
      <c r="V60" s="370"/>
      <c r="W60" s="370"/>
      <c r="X60" s="370"/>
      <c r="Y60" s="68">
        <f t="shared" si="42"/>
        <v>0</v>
      </c>
      <c r="Z60" s="345"/>
      <c r="AA60" s="347"/>
      <c r="AB60" s="345"/>
      <c r="AC60" s="345"/>
      <c r="AD60" s="345"/>
      <c r="AE60" s="68">
        <f t="shared" si="43"/>
        <v>0</v>
      </c>
      <c r="AF60" s="366" t="s">
        <v>1097</v>
      </c>
      <c r="AG60" s="358"/>
      <c r="AH60" s="359"/>
      <c r="AI60" s="360"/>
      <c r="AJ60" s="360"/>
      <c r="AK60" s="360" t="str">
        <f t="shared" si="30"/>
        <v/>
      </c>
      <c r="AL60" s="18"/>
      <c r="AM60" s="360" t="e">
        <f t="shared" si="31"/>
        <v>#VALUE!</v>
      </c>
      <c r="AN60" s="360" t="str">
        <f t="shared" si="32"/>
        <v>2</v>
      </c>
      <c r="AO60" s="360"/>
      <c r="AP60" s="346" t="str">
        <f t="shared" si="33"/>
        <v>2</v>
      </c>
      <c r="AQ60" s="360" t="e">
        <f t="shared" si="34"/>
        <v>#VALUE!</v>
      </c>
      <c r="AR60" s="530"/>
      <c r="AS60" s="360"/>
      <c r="AT60" s="362"/>
      <c r="AU60" s="362"/>
      <c r="AV60" s="362"/>
      <c r="AW60" s="362"/>
      <c r="AX60" s="362"/>
      <c r="AY60" s="362"/>
      <c r="AZ60" s="362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</row>
    <row r="61" spans="1:68" ht="20.25" customHeight="1">
      <c r="A61" s="100">
        <v>12</v>
      </c>
      <c r="B61" s="100" t="s">
        <v>35</v>
      </c>
      <c r="C61" s="363">
        <v>44938</v>
      </c>
      <c r="D61" s="102" t="s">
        <v>201</v>
      </c>
      <c r="E61" s="100" t="str">
        <f t="shared" si="0"/>
        <v>Sama</v>
      </c>
      <c r="F61" s="63">
        <f t="shared" si="26"/>
        <v>54</v>
      </c>
      <c r="G61" s="63">
        <v>31</v>
      </c>
      <c r="H61" s="62" t="s">
        <v>35</v>
      </c>
      <c r="I61" s="62" t="s">
        <v>201</v>
      </c>
      <c r="J61" s="66">
        <v>8533.2463356540557</v>
      </c>
      <c r="K61" s="533" t="s">
        <v>91</v>
      </c>
      <c r="L61" s="68">
        <f t="shared" si="48"/>
        <v>10076</v>
      </c>
      <c r="M61" s="63"/>
      <c r="N61" s="365">
        <f t="shared" si="28"/>
        <v>2013</v>
      </c>
      <c r="O61" s="382" t="s">
        <v>934</v>
      </c>
      <c r="P61" s="68"/>
      <c r="Q61" s="68"/>
      <c r="R61" s="68"/>
      <c r="S61" s="68">
        <f t="shared" si="29"/>
        <v>0</v>
      </c>
      <c r="T61" s="63"/>
      <c r="U61" s="347"/>
      <c r="V61" s="370"/>
      <c r="W61" s="370"/>
      <c r="X61" s="370"/>
      <c r="Y61" s="68">
        <f t="shared" si="42"/>
        <v>0</v>
      </c>
      <c r="Z61" s="345" t="s">
        <v>1076</v>
      </c>
      <c r="AA61" s="347" t="s">
        <v>202</v>
      </c>
      <c r="AB61" s="345">
        <v>10076</v>
      </c>
      <c r="AC61" s="345"/>
      <c r="AD61" s="345"/>
      <c r="AE61" s="68">
        <f t="shared" si="43"/>
        <v>10076</v>
      </c>
      <c r="AF61" s="364">
        <v>2021</v>
      </c>
      <c r="AG61" s="344"/>
      <c r="AH61" s="84"/>
      <c r="AI61" s="63"/>
      <c r="AJ61" s="63"/>
      <c r="AK61" s="63" t="str">
        <f t="shared" si="30"/>
        <v>V</v>
      </c>
      <c r="AL61" s="47"/>
      <c r="AM61" s="63" t="str">
        <f t="shared" si="31"/>
        <v>2</v>
      </c>
      <c r="AN61" s="63" t="str">
        <f t="shared" si="32"/>
        <v>2</v>
      </c>
      <c r="AO61" s="63"/>
      <c r="AP61" s="346" t="str">
        <f t="shared" si="33"/>
        <v>1</v>
      </c>
      <c r="AQ61" s="63" t="str">
        <f t="shared" si="34"/>
        <v>2.2..1</v>
      </c>
      <c r="AR61" s="534"/>
      <c r="AS61" s="64" t="s">
        <v>1958</v>
      </c>
      <c r="AT61" s="95">
        <v>8533.25</v>
      </c>
      <c r="AU61" s="95">
        <v>10076</v>
      </c>
      <c r="AV61" s="371">
        <f>AU61/AT61</f>
        <v>1.1807927811795038</v>
      </c>
      <c r="AW61" s="95">
        <v>8469</v>
      </c>
      <c r="AX61" s="371"/>
      <c r="AY61" s="95">
        <v>64</v>
      </c>
      <c r="AZ61" s="371">
        <f>AY61/AT61</f>
        <v>7.5000732429027625E-3</v>
      </c>
      <c r="BA61" s="47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</row>
    <row r="62" spans="1:68" ht="20.25" customHeight="1">
      <c r="A62" s="100">
        <v>12</v>
      </c>
      <c r="B62" s="100" t="s">
        <v>35</v>
      </c>
      <c r="C62" s="363">
        <v>44969</v>
      </c>
      <c r="D62" s="102" t="s">
        <v>203</v>
      </c>
      <c r="E62" s="100" t="str">
        <f t="shared" si="0"/>
        <v>Sama</v>
      </c>
      <c r="F62" s="63">
        <f t="shared" si="26"/>
        <v>55</v>
      </c>
      <c r="G62" s="63">
        <v>32</v>
      </c>
      <c r="H62" s="62" t="s">
        <v>35</v>
      </c>
      <c r="I62" s="62" t="s">
        <v>203</v>
      </c>
      <c r="J62" s="66">
        <v>20534.533927261415</v>
      </c>
      <c r="K62" s="533" t="s">
        <v>123</v>
      </c>
      <c r="L62" s="68">
        <f t="shared" si="48"/>
        <v>0</v>
      </c>
      <c r="M62" s="63"/>
      <c r="N62" s="365">
        <f t="shared" si="28"/>
        <v>2017</v>
      </c>
      <c r="O62" s="382" t="s">
        <v>1140</v>
      </c>
      <c r="P62" s="68">
        <v>0</v>
      </c>
      <c r="Q62" s="68">
        <v>0</v>
      </c>
      <c r="R62" s="68">
        <v>0</v>
      </c>
      <c r="S62" s="68">
        <f t="shared" si="29"/>
        <v>0</v>
      </c>
      <c r="T62" s="63"/>
      <c r="U62" s="347" t="s">
        <v>1181</v>
      </c>
      <c r="V62" s="370">
        <v>0</v>
      </c>
      <c r="W62" s="370">
        <v>0</v>
      </c>
      <c r="X62" s="370">
        <v>0</v>
      </c>
      <c r="Y62" s="68">
        <f t="shared" si="42"/>
        <v>0</v>
      </c>
      <c r="Z62" s="345"/>
      <c r="AA62" s="347"/>
      <c r="AB62" s="345"/>
      <c r="AC62" s="345"/>
      <c r="AD62" s="345"/>
      <c r="AE62" s="68">
        <f t="shared" si="43"/>
        <v>0</v>
      </c>
      <c r="AF62" s="366">
        <v>2023</v>
      </c>
      <c r="AG62" s="358" t="s">
        <v>1160</v>
      </c>
      <c r="AH62" s="359"/>
      <c r="AI62" s="360"/>
      <c r="AJ62" s="360"/>
      <c r="AK62" s="360" t="str">
        <f t="shared" si="30"/>
        <v/>
      </c>
      <c r="AL62" s="18"/>
      <c r="AM62" s="360" t="str">
        <f t="shared" si="31"/>
        <v>2</v>
      </c>
      <c r="AN62" s="360" t="str">
        <f t="shared" si="32"/>
        <v>2</v>
      </c>
      <c r="AO62" s="360"/>
      <c r="AP62" s="346" t="str">
        <f t="shared" si="33"/>
        <v>2</v>
      </c>
      <c r="AQ62" s="360" t="str">
        <f t="shared" si="34"/>
        <v>2.2..2</v>
      </c>
      <c r="AR62" s="530"/>
      <c r="AS62" s="360"/>
      <c r="AT62" s="362"/>
      <c r="AU62" s="362"/>
      <c r="AV62" s="362"/>
      <c r="AW62" s="362"/>
      <c r="AX62" s="362"/>
      <c r="AY62" s="362"/>
      <c r="AZ62" s="362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</row>
    <row r="63" spans="1:68" ht="20.25" customHeight="1">
      <c r="A63" s="100">
        <v>12</v>
      </c>
      <c r="B63" s="100" t="s">
        <v>35</v>
      </c>
      <c r="C63" s="369">
        <v>45272</v>
      </c>
      <c r="D63" s="102" t="s">
        <v>205</v>
      </c>
      <c r="E63" s="100" t="str">
        <f t="shared" si="0"/>
        <v>Beda</v>
      </c>
      <c r="F63" s="63">
        <f t="shared" si="26"/>
        <v>56</v>
      </c>
      <c r="G63" s="63">
        <v>33</v>
      </c>
      <c r="H63" s="62" t="s">
        <v>35</v>
      </c>
      <c r="I63" s="62" t="s">
        <v>1959</v>
      </c>
      <c r="J63" s="66">
        <v>17083.588922450879</v>
      </c>
      <c r="K63" s="533" t="s">
        <v>123</v>
      </c>
      <c r="L63" s="68">
        <f t="shared" si="48"/>
        <v>0</v>
      </c>
      <c r="M63" s="63"/>
      <c r="N63" s="365">
        <f t="shared" si="28"/>
        <v>2017</v>
      </c>
      <c r="O63" s="531" t="s">
        <v>1183</v>
      </c>
      <c r="P63" s="68"/>
      <c r="Q63" s="68"/>
      <c r="R63" s="68"/>
      <c r="S63" s="68">
        <f t="shared" si="29"/>
        <v>0</v>
      </c>
      <c r="T63" s="63"/>
      <c r="U63" s="347"/>
      <c r="V63" s="370"/>
      <c r="W63" s="370"/>
      <c r="X63" s="370"/>
      <c r="Y63" s="68">
        <f t="shared" si="42"/>
        <v>0</v>
      </c>
      <c r="Z63" s="345"/>
      <c r="AA63" s="347"/>
      <c r="AB63" s="345"/>
      <c r="AC63" s="345"/>
      <c r="AD63" s="345"/>
      <c r="AE63" s="68">
        <f t="shared" si="43"/>
        <v>0</v>
      </c>
      <c r="AF63" s="366" t="s">
        <v>1129</v>
      </c>
      <c r="AG63" s="358" t="s">
        <v>1090</v>
      </c>
      <c r="AH63" s="359"/>
      <c r="AI63" s="360"/>
      <c r="AJ63" s="360"/>
      <c r="AK63" s="360" t="str">
        <f t="shared" si="30"/>
        <v/>
      </c>
      <c r="AL63" s="18" t="s">
        <v>1184</v>
      </c>
      <c r="AM63" s="360" t="str">
        <f t="shared" si="31"/>
        <v>2</v>
      </c>
      <c r="AN63" s="360" t="str">
        <f t="shared" si="32"/>
        <v>2</v>
      </c>
      <c r="AO63" s="360"/>
      <c r="AP63" s="346" t="str">
        <f t="shared" si="33"/>
        <v>2</v>
      </c>
      <c r="AQ63" s="360" t="str">
        <f t="shared" si="34"/>
        <v>2.2..2</v>
      </c>
      <c r="AR63" s="530"/>
      <c r="AS63" s="360"/>
      <c r="AT63" s="362"/>
      <c r="AU63" s="362"/>
      <c r="AV63" s="362"/>
      <c r="AW63" s="362"/>
      <c r="AX63" s="362"/>
      <c r="AY63" s="362"/>
      <c r="AZ63" s="362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</row>
    <row r="64" spans="1:68" ht="20.25" customHeight="1">
      <c r="A64" s="100">
        <v>13</v>
      </c>
      <c r="B64" s="100" t="s">
        <v>36</v>
      </c>
      <c r="C64" s="100">
        <v>13</v>
      </c>
      <c r="D64" s="102" t="s">
        <v>1960</v>
      </c>
      <c r="E64" s="100" t="str">
        <f t="shared" si="0"/>
        <v>Sama</v>
      </c>
      <c r="F64" s="63"/>
      <c r="G64" s="341"/>
      <c r="H64" s="379"/>
      <c r="I64" s="379" t="s">
        <v>1960</v>
      </c>
      <c r="J64" s="380">
        <f>SUM(J65:J83)</f>
        <v>194281.78701485557</v>
      </c>
      <c r="K64" s="353">
        <f>COUNTIF(K65:K83,"D") + COUNTIF(K65:K83,"DS")</f>
        <v>13</v>
      </c>
      <c r="L64" s="383">
        <f>SUBTOTAL(9,L65:L83)</f>
        <v>119679.79000000001</v>
      </c>
      <c r="M64" s="342">
        <f>COUNTIF(M65:M83,T72)</f>
        <v>4</v>
      </c>
      <c r="N64" s="355"/>
      <c r="O64" s="356">
        <v>14</v>
      </c>
      <c r="P64" s="383">
        <f t="shared" ref="P64:S64" si="49">SUBTOTAL(9,P65:P83)</f>
        <v>64641.520000000004</v>
      </c>
      <c r="Q64" s="383">
        <f t="shared" si="49"/>
        <v>0</v>
      </c>
      <c r="R64" s="383">
        <f t="shared" si="49"/>
        <v>92139.520000000004</v>
      </c>
      <c r="S64" s="383">
        <f t="shared" si="49"/>
        <v>107139.52</v>
      </c>
      <c r="T64" s="342">
        <f>COUNTIF(T65:T83,M65)</f>
        <v>4</v>
      </c>
      <c r="U64" s="351">
        <v>5</v>
      </c>
      <c r="V64" s="384">
        <v>62487.990000000005</v>
      </c>
      <c r="W64" s="384">
        <v>8359.57</v>
      </c>
      <c r="X64" s="384">
        <v>19453.77</v>
      </c>
      <c r="Y64" s="383">
        <f>SUBTOTAL(9,Y65:Y83)</f>
        <v>37545.020000000004</v>
      </c>
      <c r="Z64" s="337">
        <f>COUNTIF(Z65:Z83,T79)</f>
        <v>3</v>
      </c>
      <c r="AA64" s="351">
        <v>3</v>
      </c>
      <c r="AB64" s="337">
        <v>62487.990000000005</v>
      </c>
      <c r="AC64" s="337">
        <v>8359.57</v>
      </c>
      <c r="AD64" s="337">
        <v>19453.77</v>
      </c>
      <c r="AE64" s="383">
        <f>SUBTOTAL(9,AE65:AE83)</f>
        <v>34731.64</v>
      </c>
      <c r="AF64" s="357" t="s">
        <v>1138</v>
      </c>
      <c r="AG64" s="358"/>
      <c r="AH64" s="359">
        <f>SUM(AH65:AH83)</f>
        <v>191195.78744013241</v>
      </c>
      <c r="AI64" s="360"/>
      <c r="AJ64" s="360"/>
      <c r="AK64" s="361">
        <f>COUNTIF(AK65:AK83,"V") + COUNTIF(AK65:AK83,"VV") + COUNTIF(AK65:AK83,"VVV")</f>
        <v>9</v>
      </c>
      <c r="AL64" s="18"/>
      <c r="AM64" s="360"/>
      <c r="AN64" s="360"/>
      <c r="AO64" s="360"/>
      <c r="AP64" s="346"/>
      <c r="AQ64" s="360"/>
      <c r="AR64" s="530"/>
      <c r="AS64" s="360"/>
      <c r="AT64" s="362"/>
      <c r="AU64" s="362"/>
      <c r="AV64" s="362"/>
      <c r="AW64" s="362"/>
      <c r="AX64" s="362"/>
      <c r="AY64" s="362"/>
      <c r="AZ64" s="362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</row>
    <row r="65" spans="1:68" ht="20.25" customHeight="1">
      <c r="A65" s="100">
        <v>13</v>
      </c>
      <c r="B65" s="100" t="s">
        <v>36</v>
      </c>
      <c r="C65" s="363">
        <v>45090</v>
      </c>
      <c r="D65" s="102" t="s">
        <v>207</v>
      </c>
      <c r="E65" s="100" t="str">
        <f t="shared" si="0"/>
        <v>Sama</v>
      </c>
      <c r="F65" s="63">
        <f t="shared" ref="F65:F83" si="50">SUBTOTAL(3,$G$7:G65)</f>
        <v>57</v>
      </c>
      <c r="G65" s="63">
        <v>1</v>
      </c>
      <c r="H65" s="62" t="s">
        <v>36</v>
      </c>
      <c r="I65" s="62" t="s">
        <v>207</v>
      </c>
      <c r="J65" s="66">
        <v>23654.853048173587</v>
      </c>
      <c r="K65" s="533" t="s">
        <v>91</v>
      </c>
      <c r="L65" s="68">
        <f>IF(S65&gt;0,S65,IF(Y65&gt;0,Y65,IF(AE65&gt;0,AE65,0)))</f>
        <v>18018</v>
      </c>
      <c r="M65" s="63" t="s">
        <v>1076</v>
      </c>
      <c r="N65" s="365">
        <f t="shared" ref="N65:N83" si="51">VALUE(RIGHT(O65,4))</f>
        <v>2021</v>
      </c>
      <c r="O65" s="531" t="s">
        <v>289</v>
      </c>
      <c r="P65" s="370">
        <v>0</v>
      </c>
      <c r="Q65" s="370">
        <v>0</v>
      </c>
      <c r="R65" s="370">
        <v>18018</v>
      </c>
      <c r="S65" s="68">
        <f t="shared" ref="S65:S83" si="52">IF(R65&gt;0,R65,IF(P65&gt;0,P65,0))</f>
        <v>18018</v>
      </c>
      <c r="T65" s="63"/>
      <c r="U65" s="347"/>
      <c r="V65" s="370"/>
      <c r="W65" s="370"/>
      <c r="X65" s="370"/>
      <c r="Y65" s="68">
        <f t="shared" ref="Y65:Y83" si="53">IF(X65&gt;0,X65,IF(V65&gt;0,V65,0))</f>
        <v>0</v>
      </c>
      <c r="Z65" s="345" t="s">
        <v>1076</v>
      </c>
      <c r="AA65" s="347" t="s">
        <v>208</v>
      </c>
      <c r="AB65" s="345">
        <v>15243</v>
      </c>
      <c r="AC65" s="345">
        <v>3159</v>
      </c>
      <c r="AD65" s="345">
        <v>0</v>
      </c>
      <c r="AE65" s="68">
        <f t="shared" ref="AE65:AE83" si="54">IF(AD65&gt;0,AD65,IF(AB65&gt;0,AB65,0))</f>
        <v>15243</v>
      </c>
      <c r="AF65" s="366">
        <v>2020</v>
      </c>
      <c r="AG65" s="358"/>
      <c r="AH65" s="359">
        <v>19670.317453256106</v>
      </c>
      <c r="AI65" s="360"/>
      <c r="AJ65" s="360"/>
      <c r="AK65" s="360" t="str">
        <f t="shared" ref="AK65:AK83" si="55">CONCATENATE(M65,T65,Z65)</f>
        <v>VV</v>
      </c>
      <c r="AL65" s="18"/>
      <c r="AM65" s="360" t="str">
        <f t="shared" ref="AM65:AM83" si="56">IF(N65="","3",IF(N65&lt;=2018,"2","1"))</f>
        <v>1</v>
      </c>
      <c r="AN65" s="360" t="str">
        <f t="shared" ref="AN65:AN83" si="57">IF(S65&gt;0,"1","2")</f>
        <v>1</v>
      </c>
      <c r="AO65" s="360"/>
      <c r="AP65" s="346" t="str">
        <f t="shared" ref="AP65:AP83" si="58">IF(Y65&gt;0,"1",IF(AE65&gt;0,"1","2"))</f>
        <v>1</v>
      </c>
      <c r="AQ65" s="360" t="str">
        <f t="shared" ref="AQ65:AQ83" si="59">CONCATENATE(AM65,".",AN65,".",AO65,".",AP65)</f>
        <v>1.1..1</v>
      </c>
      <c r="AR65" s="530"/>
      <c r="AS65" s="362" t="s">
        <v>1961</v>
      </c>
      <c r="AT65" s="367">
        <v>23655</v>
      </c>
      <c r="AU65" s="367">
        <v>18408</v>
      </c>
      <c r="AV65" s="368">
        <f t="shared" ref="AV65:AV66" si="60">AU65/AT65</f>
        <v>0.77818642993024734</v>
      </c>
      <c r="AW65" s="367">
        <v>14835</v>
      </c>
      <c r="AX65" s="368">
        <f t="shared" ref="AX65:AX66" si="61">AW65/AT65</f>
        <v>0.62714013950538994</v>
      </c>
      <c r="AY65" s="367">
        <v>8820</v>
      </c>
      <c r="AZ65" s="368">
        <f t="shared" ref="AZ65:AZ66" si="62">AY65/AT65</f>
        <v>0.37285986049461001</v>
      </c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</row>
    <row r="66" spans="1:68" ht="20.25" customHeight="1">
      <c r="A66" s="100">
        <v>13</v>
      </c>
      <c r="B66" s="100" t="s">
        <v>36</v>
      </c>
      <c r="C66" s="369">
        <v>45212</v>
      </c>
      <c r="D66" s="102" t="s">
        <v>209</v>
      </c>
      <c r="E66" s="100" t="str">
        <f t="shared" si="0"/>
        <v>Sama</v>
      </c>
      <c r="F66" s="63">
        <f t="shared" si="50"/>
        <v>58</v>
      </c>
      <c r="G66" s="63">
        <v>2</v>
      </c>
      <c r="H66" s="62" t="s">
        <v>36</v>
      </c>
      <c r="I66" s="62" t="s">
        <v>209</v>
      </c>
      <c r="J66" s="66">
        <v>4941.7531862958376</v>
      </c>
      <c r="K66" s="533" t="s">
        <v>91</v>
      </c>
      <c r="L66" s="68">
        <f>Y66</f>
        <v>4603.38</v>
      </c>
      <c r="M66" s="63"/>
      <c r="N66" s="365">
        <f t="shared" si="51"/>
        <v>2012</v>
      </c>
      <c r="O66" s="531" t="s">
        <v>198</v>
      </c>
      <c r="P66" s="68">
        <v>14643</v>
      </c>
      <c r="Q66" s="68">
        <v>0</v>
      </c>
      <c r="R66" s="68">
        <v>14643</v>
      </c>
      <c r="S66" s="68">
        <f t="shared" si="52"/>
        <v>14643</v>
      </c>
      <c r="T66" s="63" t="s">
        <v>1076</v>
      </c>
      <c r="U66" s="347" t="s">
        <v>210</v>
      </c>
      <c r="V66" s="370">
        <v>4603.38</v>
      </c>
      <c r="W66" s="370">
        <v>0</v>
      </c>
      <c r="X66" s="370">
        <v>4603.38</v>
      </c>
      <c r="Y66" s="68">
        <f t="shared" si="53"/>
        <v>4603.38</v>
      </c>
      <c r="Z66" s="345"/>
      <c r="AA66" s="347"/>
      <c r="AB66" s="345"/>
      <c r="AC66" s="345"/>
      <c r="AD66" s="345"/>
      <c r="AE66" s="68">
        <f t="shared" si="54"/>
        <v>0</v>
      </c>
      <c r="AF66" s="366">
        <v>2020</v>
      </c>
      <c r="AG66" s="358"/>
      <c r="AH66" s="359">
        <v>5046.0439336699783</v>
      </c>
      <c r="AI66" s="360"/>
      <c r="AJ66" s="360"/>
      <c r="AK66" s="360" t="str">
        <f t="shared" si="55"/>
        <v>V</v>
      </c>
      <c r="AL66" s="18"/>
      <c r="AM66" s="360" t="str">
        <f t="shared" si="56"/>
        <v>2</v>
      </c>
      <c r="AN66" s="360" t="str">
        <f t="shared" si="57"/>
        <v>1</v>
      </c>
      <c r="AO66" s="360"/>
      <c r="AP66" s="346" t="str">
        <f t="shared" si="58"/>
        <v>1</v>
      </c>
      <c r="AQ66" s="360" t="str">
        <f t="shared" si="59"/>
        <v>2.1..1</v>
      </c>
      <c r="AR66" s="530"/>
      <c r="AS66" s="362" t="s">
        <v>210</v>
      </c>
      <c r="AT66" s="367">
        <v>4942</v>
      </c>
      <c r="AU66" s="367">
        <v>4597</v>
      </c>
      <c r="AV66" s="368">
        <f t="shared" si="60"/>
        <v>0.93019020639417238</v>
      </c>
      <c r="AW66" s="367">
        <v>3386</v>
      </c>
      <c r="AX66" s="368">
        <f t="shared" si="61"/>
        <v>0.68514771347632542</v>
      </c>
      <c r="AY66" s="367">
        <v>1556</v>
      </c>
      <c r="AZ66" s="368">
        <f t="shared" si="62"/>
        <v>0.31485228652367464</v>
      </c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</row>
    <row r="67" spans="1:68" ht="20.25" customHeight="1">
      <c r="A67" s="100">
        <v>13</v>
      </c>
      <c r="B67" s="100" t="s">
        <v>36</v>
      </c>
      <c r="C67" s="363">
        <v>45182</v>
      </c>
      <c r="D67" s="102" t="s">
        <v>211</v>
      </c>
      <c r="E67" s="100" t="str">
        <f t="shared" si="0"/>
        <v>Sama</v>
      </c>
      <c r="F67" s="63">
        <f t="shared" si="50"/>
        <v>59</v>
      </c>
      <c r="G67" s="63">
        <v>3</v>
      </c>
      <c r="H67" s="62" t="s">
        <v>36</v>
      </c>
      <c r="I67" s="62" t="s">
        <v>211</v>
      </c>
      <c r="J67" s="66">
        <v>895.03558117484135</v>
      </c>
      <c r="K67" s="533" t="s">
        <v>123</v>
      </c>
      <c r="L67" s="68">
        <f t="shared" ref="L67:L77" si="63">IF(S67&gt;0,S67,IF(Y67&gt;0,Y67,IF(AE67&gt;0,AE67,0)))</f>
        <v>0</v>
      </c>
      <c r="M67" s="63"/>
      <c r="N67" s="365">
        <f t="shared" si="51"/>
        <v>2015</v>
      </c>
      <c r="O67" s="531" t="s">
        <v>212</v>
      </c>
      <c r="P67" s="68"/>
      <c r="Q67" s="68"/>
      <c r="R67" s="68"/>
      <c r="S67" s="68">
        <f t="shared" si="52"/>
        <v>0</v>
      </c>
      <c r="T67" s="63"/>
      <c r="U67" s="347"/>
      <c r="V67" s="370"/>
      <c r="W67" s="370"/>
      <c r="X67" s="370"/>
      <c r="Y67" s="68">
        <f t="shared" si="53"/>
        <v>0</v>
      </c>
      <c r="Z67" s="345"/>
      <c r="AA67" s="347"/>
      <c r="AB67" s="345"/>
      <c r="AC67" s="345"/>
      <c r="AD67" s="345"/>
      <c r="AE67" s="68">
        <f t="shared" si="54"/>
        <v>0</v>
      </c>
      <c r="AF67" s="366" t="s">
        <v>1097</v>
      </c>
      <c r="AG67" s="358"/>
      <c r="AH67" s="359">
        <v>2249.2088300242262</v>
      </c>
      <c r="AI67" s="360"/>
      <c r="AJ67" s="360"/>
      <c r="AK67" s="360" t="str">
        <f t="shared" si="55"/>
        <v/>
      </c>
      <c r="AL67" s="18"/>
      <c r="AM67" s="360" t="str">
        <f t="shared" si="56"/>
        <v>2</v>
      </c>
      <c r="AN67" s="360" t="str">
        <f t="shared" si="57"/>
        <v>2</v>
      </c>
      <c r="AO67" s="360"/>
      <c r="AP67" s="346" t="str">
        <f t="shared" si="58"/>
        <v>2</v>
      </c>
      <c r="AQ67" s="360" t="str">
        <f t="shared" si="59"/>
        <v>2.2..2</v>
      </c>
      <c r="AR67" s="530"/>
      <c r="AS67" s="360"/>
      <c r="AT67" s="362"/>
      <c r="AU67" s="362"/>
      <c r="AV67" s="362"/>
      <c r="AW67" s="362"/>
      <c r="AX67" s="362"/>
      <c r="AY67" s="362"/>
      <c r="AZ67" s="362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</row>
    <row r="68" spans="1:68" ht="20.25" customHeight="1">
      <c r="A68" s="100">
        <v>13</v>
      </c>
      <c r="B68" s="100" t="s">
        <v>36</v>
      </c>
      <c r="C68" s="100" t="s">
        <v>1962</v>
      </c>
      <c r="D68" s="102" t="s">
        <v>213</v>
      </c>
      <c r="E68" s="100" t="str">
        <f t="shared" si="0"/>
        <v>Sama</v>
      </c>
      <c r="F68" s="63">
        <f t="shared" si="50"/>
        <v>60</v>
      </c>
      <c r="G68" s="63">
        <v>4</v>
      </c>
      <c r="H68" s="62" t="s">
        <v>36</v>
      </c>
      <c r="I68" s="62" t="s">
        <v>213</v>
      </c>
      <c r="J68" s="66">
        <v>383.5095647347153</v>
      </c>
      <c r="K68" s="533" t="s">
        <v>123</v>
      </c>
      <c r="L68" s="68">
        <f t="shared" si="63"/>
        <v>0</v>
      </c>
      <c r="M68" s="63"/>
      <c r="N68" s="365">
        <f t="shared" si="51"/>
        <v>2017</v>
      </c>
      <c r="O68" s="531" t="s">
        <v>214</v>
      </c>
      <c r="P68" s="68"/>
      <c r="Q68" s="68"/>
      <c r="R68" s="68"/>
      <c r="S68" s="68">
        <f t="shared" si="52"/>
        <v>0</v>
      </c>
      <c r="T68" s="63"/>
      <c r="U68" s="347"/>
      <c r="V68" s="370"/>
      <c r="W68" s="370"/>
      <c r="X68" s="370"/>
      <c r="Y68" s="68">
        <f t="shared" si="53"/>
        <v>0</v>
      </c>
      <c r="Z68" s="345"/>
      <c r="AA68" s="347"/>
      <c r="AB68" s="345"/>
      <c r="AC68" s="345"/>
      <c r="AD68" s="345"/>
      <c r="AE68" s="68">
        <f t="shared" si="54"/>
        <v>0</v>
      </c>
      <c r="AF68" s="366" t="s">
        <v>1097</v>
      </c>
      <c r="AG68" s="358"/>
      <c r="AH68" s="359">
        <v>305.4609494859518</v>
      </c>
      <c r="AI68" s="360"/>
      <c r="AJ68" s="360"/>
      <c r="AK68" s="360" t="str">
        <f t="shared" si="55"/>
        <v/>
      </c>
      <c r="AL68" s="18" t="s">
        <v>1190</v>
      </c>
      <c r="AM68" s="360" t="str">
        <f t="shared" si="56"/>
        <v>2</v>
      </c>
      <c r="AN68" s="360" t="str">
        <f t="shared" si="57"/>
        <v>2</v>
      </c>
      <c r="AO68" s="360"/>
      <c r="AP68" s="346" t="str">
        <f t="shared" si="58"/>
        <v>2</v>
      </c>
      <c r="AQ68" s="360" t="str">
        <f t="shared" si="59"/>
        <v>2.2..2</v>
      </c>
      <c r="AR68" s="530"/>
      <c r="AS68" s="360"/>
      <c r="AT68" s="362"/>
      <c r="AU68" s="362"/>
      <c r="AV68" s="362"/>
      <c r="AW68" s="362"/>
      <c r="AX68" s="362"/>
      <c r="AY68" s="362"/>
      <c r="AZ68" s="362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</row>
    <row r="69" spans="1:68" ht="20.25" customHeight="1">
      <c r="A69" s="100">
        <v>13</v>
      </c>
      <c r="B69" s="100" t="s">
        <v>36</v>
      </c>
      <c r="C69" s="100" t="s">
        <v>1963</v>
      </c>
      <c r="D69" s="102" t="s">
        <v>215</v>
      </c>
      <c r="E69" s="100" t="str">
        <f t="shared" si="0"/>
        <v>Sama</v>
      </c>
      <c r="F69" s="63">
        <f t="shared" si="50"/>
        <v>61</v>
      </c>
      <c r="G69" s="63">
        <v>5</v>
      </c>
      <c r="H69" s="62" t="s">
        <v>36</v>
      </c>
      <c r="I69" s="62" t="s">
        <v>215</v>
      </c>
      <c r="J69" s="66">
        <v>5841.6257267284327</v>
      </c>
      <c r="K69" s="533" t="s">
        <v>91</v>
      </c>
      <c r="L69" s="68">
        <f t="shared" si="63"/>
        <v>2817.86</v>
      </c>
      <c r="M69" s="63" t="s">
        <v>1076</v>
      </c>
      <c r="N69" s="365">
        <f t="shared" si="51"/>
        <v>2019</v>
      </c>
      <c r="O69" s="531" t="s">
        <v>216</v>
      </c>
      <c r="P69" s="68">
        <v>2817.86</v>
      </c>
      <c r="Q69" s="68">
        <v>0</v>
      </c>
      <c r="R69" s="68">
        <v>2817.86</v>
      </c>
      <c r="S69" s="68">
        <f t="shared" si="52"/>
        <v>2817.86</v>
      </c>
      <c r="T69" s="63"/>
      <c r="U69" s="347"/>
      <c r="V69" s="370"/>
      <c r="W69" s="370"/>
      <c r="X69" s="370"/>
      <c r="Y69" s="68">
        <f t="shared" si="53"/>
        <v>0</v>
      </c>
      <c r="Z69" s="345"/>
      <c r="AA69" s="347"/>
      <c r="AB69" s="345"/>
      <c r="AC69" s="345"/>
      <c r="AD69" s="345"/>
      <c r="AE69" s="68">
        <f t="shared" si="54"/>
        <v>0</v>
      </c>
      <c r="AF69" s="364" t="s">
        <v>1097</v>
      </c>
      <c r="AG69" s="344"/>
      <c r="AH69" s="84">
        <v>5409.007344041047</v>
      </c>
      <c r="AI69" s="63"/>
      <c r="AJ69" s="63"/>
      <c r="AK69" s="63" t="str">
        <f t="shared" si="55"/>
        <v>V</v>
      </c>
      <c r="AL69" s="47"/>
      <c r="AM69" s="63" t="str">
        <f t="shared" si="56"/>
        <v>1</v>
      </c>
      <c r="AN69" s="63" t="str">
        <f t="shared" si="57"/>
        <v>1</v>
      </c>
      <c r="AO69" s="63"/>
      <c r="AP69" s="346" t="str">
        <f t="shared" si="58"/>
        <v>2</v>
      </c>
      <c r="AQ69" s="63" t="str">
        <f t="shared" si="59"/>
        <v>1.1..2</v>
      </c>
      <c r="AR69" s="534"/>
      <c r="AS69" s="347"/>
      <c r="AT69" s="95"/>
      <c r="AU69" s="95"/>
      <c r="AV69" s="371" t="e">
        <f t="shared" ref="AV69:AV70" si="64">AU69/AT69</f>
        <v>#DIV/0!</v>
      </c>
      <c r="AW69" s="95"/>
      <c r="AX69" s="371" t="e">
        <f t="shared" ref="AX69:AX70" si="65">AW69/AT69</f>
        <v>#DIV/0!</v>
      </c>
      <c r="AY69" s="95"/>
      <c r="AZ69" s="371" t="e">
        <f t="shared" ref="AZ69:AZ70" si="66">AY69/AT69</f>
        <v>#DIV/0!</v>
      </c>
      <c r="BA69" s="47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</row>
    <row r="70" spans="1:68" ht="20.25" customHeight="1">
      <c r="A70" s="100">
        <v>13</v>
      </c>
      <c r="B70" s="100" t="s">
        <v>36</v>
      </c>
      <c r="C70" s="100" t="s">
        <v>1964</v>
      </c>
      <c r="D70" s="102" t="s">
        <v>217</v>
      </c>
      <c r="E70" s="100" t="str">
        <f t="shared" si="0"/>
        <v>Sama</v>
      </c>
      <c r="F70" s="63">
        <f t="shared" si="50"/>
        <v>62</v>
      </c>
      <c r="G70" s="63">
        <v>6</v>
      </c>
      <c r="H70" s="62" t="s">
        <v>36</v>
      </c>
      <c r="I70" s="62" t="s">
        <v>217</v>
      </c>
      <c r="J70" s="66">
        <v>552.30450255674111</v>
      </c>
      <c r="K70" s="533" t="s">
        <v>91</v>
      </c>
      <c r="L70" s="68">
        <f t="shared" si="63"/>
        <v>147.05000000000001</v>
      </c>
      <c r="M70" s="63"/>
      <c r="N70" s="365">
        <f t="shared" si="51"/>
        <v>2013</v>
      </c>
      <c r="O70" s="531" t="s">
        <v>167</v>
      </c>
      <c r="P70" s="68"/>
      <c r="Q70" s="68"/>
      <c r="R70" s="68"/>
      <c r="S70" s="68">
        <f t="shared" si="52"/>
        <v>0</v>
      </c>
      <c r="T70" s="63" t="s">
        <v>1076</v>
      </c>
      <c r="U70" s="531" t="s">
        <v>218</v>
      </c>
      <c r="V70" s="370">
        <v>147.05000000000001</v>
      </c>
      <c r="W70" s="370"/>
      <c r="X70" s="370"/>
      <c r="Y70" s="68">
        <f t="shared" si="53"/>
        <v>147.05000000000001</v>
      </c>
      <c r="Z70" s="345"/>
      <c r="AA70" s="347"/>
      <c r="AB70" s="345"/>
      <c r="AC70" s="345"/>
      <c r="AD70" s="345"/>
      <c r="AE70" s="68">
        <f t="shared" si="54"/>
        <v>0</v>
      </c>
      <c r="AF70" s="366">
        <v>2020</v>
      </c>
      <c r="AG70" s="358"/>
      <c r="AH70" s="359">
        <v>535.03851677876401</v>
      </c>
      <c r="AI70" s="360"/>
      <c r="AJ70" s="360"/>
      <c r="AK70" s="360" t="str">
        <f t="shared" si="55"/>
        <v>V</v>
      </c>
      <c r="AL70" s="18" t="s">
        <v>1193</v>
      </c>
      <c r="AM70" s="360" t="str">
        <f t="shared" si="56"/>
        <v>2</v>
      </c>
      <c r="AN70" s="360" t="str">
        <f t="shared" si="57"/>
        <v>2</v>
      </c>
      <c r="AO70" s="360"/>
      <c r="AP70" s="346" t="str">
        <f t="shared" si="58"/>
        <v>1</v>
      </c>
      <c r="AQ70" s="360" t="str">
        <f t="shared" si="59"/>
        <v>2.2..1</v>
      </c>
      <c r="AR70" s="530"/>
      <c r="AS70" s="362" t="s">
        <v>218</v>
      </c>
      <c r="AT70" s="362">
        <v>552</v>
      </c>
      <c r="AU70" s="362">
        <v>147</v>
      </c>
      <c r="AV70" s="368">
        <f t="shared" si="64"/>
        <v>0.26630434782608697</v>
      </c>
      <c r="AW70" s="362">
        <v>142</v>
      </c>
      <c r="AX70" s="368">
        <f t="shared" si="65"/>
        <v>0.25724637681159418</v>
      </c>
      <c r="AY70" s="362">
        <v>411</v>
      </c>
      <c r="AZ70" s="368">
        <f t="shared" si="66"/>
        <v>0.74456521739130432</v>
      </c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</row>
    <row r="71" spans="1:68" ht="20.25" customHeight="1">
      <c r="A71" s="100">
        <v>13</v>
      </c>
      <c r="B71" s="100" t="s">
        <v>36</v>
      </c>
      <c r="C71" s="100" t="s">
        <v>1965</v>
      </c>
      <c r="D71" s="102" t="s">
        <v>219</v>
      </c>
      <c r="E71" s="100" t="str">
        <f t="shared" si="0"/>
        <v>Sama</v>
      </c>
      <c r="F71" s="63">
        <f t="shared" si="50"/>
        <v>63</v>
      </c>
      <c r="G71" s="63">
        <v>7</v>
      </c>
      <c r="H71" s="62" t="s">
        <v>36</v>
      </c>
      <c r="I71" s="62" t="s">
        <v>219</v>
      </c>
      <c r="J71" s="66">
        <v>2996.3822376647713</v>
      </c>
      <c r="K71" s="533" t="s">
        <v>104</v>
      </c>
      <c r="L71" s="68">
        <f t="shared" si="63"/>
        <v>1601</v>
      </c>
      <c r="M71" s="63"/>
      <c r="N71" s="365">
        <f t="shared" si="51"/>
        <v>2022</v>
      </c>
      <c r="O71" s="537" t="s">
        <v>220</v>
      </c>
      <c r="P71" s="68">
        <v>1601</v>
      </c>
      <c r="Q71" s="68">
        <v>0</v>
      </c>
      <c r="R71" s="68">
        <v>1601</v>
      </c>
      <c r="S71" s="68">
        <f t="shared" si="52"/>
        <v>1601</v>
      </c>
      <c r="T71" s="63"/>
      <c r="U71" s="347"/>
      <c r="V71" s="370"/>
      <c r="W71" s="370"/>
      <c r="X71" s="370"/>
      <c r="Y71" s="68">
        <f t="shared" si="53"/>
        <v>0</v>
      </c>
      <c r="Z71" s="345"/>
      <c r="AA71" s="347"/>
      <c r="AB71" s="345"/>
      <c r="AC71" s="345"/>
      <c r="AD71" s="345"/>
      <c r="AE71" s="68">
        <f t="shared" si="54"/>
        <v>0</v>
      </c>
      <c r="AF71" s="366" t="s">
        <v>1097</v>
      </c>
      <c r="AG71" s="358"/>
      <c r="AH71" s="359">
        <v>3122.093798038612</v>
      </c>
      <c r="AI71" s="360"/>
      <c r="AJ71" s="360"/>
      <c r="AK71" s="360" t="str">
        <f t="shared" si="55"/>
        <v/>
      </c>
      <c r="AL71" s="18"/>
      <c r="AM71" s="360" t="str">
        <f t="shared" si="56"/>
        <v>1</v>
      </c>
      <c r="AN71" s="360" t="str">
        <f t="shared" si="57"/>
        <v>1</v>
      </c>
      <c r="AO71" s="360"/>
      <c r="AP71" s="346" t="str">
        <f t="shared" si="58"/>
        <v>2</v>
      </c>
      <c r="AQ71" s="360" t="str">
        <f t="shared" si="59"/>
        <v>1.1..2</v>
      </c>
      <c r="AR71" s="530"/>
      <c r="AS71" s="360"/>
      <c r="AT71" s="362"/>
      <c r="AU71" s="362"/>
      <c r="AV71" s="362"/>
      <c r="AW71" s="362"/>
      <c r="AX71" s="362"/>
      <c r="AY71" s="362"/>
      <c r="AZ71" s="362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</row>
    <row r="72" spans="1:68" ht="20.25" customHeight="1">
      <c r="A72" s="100">
        <v>13</v>
      </c>
      <c r="B72" s="100" t="s">
        <v>36</v>
      </c>
      <c r="C72" s="100" t="s">
        <v>1966</v>
      </c>
      <c r="D72" s="102" t="s">
        <v>221</v>
      </c>
      <c r="E72" s="100" t="str">
        <f t="shared" si="0"/>
        <v>Sama</v>
      </c>
      <c r="F72" s="63">
        <f t="shared" si="50"/>
        <v>64</v>
      </c>
      <c r="G72" s="63">
        <v>8</v>
      </c>
      <c r="H72" s="62" t="s">
        <v>36</v>
      </c>
      <c r="I72" s="62" t="s">
        <v>221</v>
      </c>
      <c r="J72" s="66">
        <v>2803.2111179015492</v>
      </c>
      <c r="K72" s="533" t="s">
        <v>91</v>
      </c>
      <c r="L72" s="68">
        <f t="shared" si="63"/>
        <v>1745</v>
      </c>
      <c r="M72" s="63" t="s">
        <v>1076</v>
      </c>
      <c r="N72" s="365">
        <f t="shared" si="51"/>
        <v>2020</v>
      </c>
      <c r="O72" s="531" t="s">
        <v>155</v>
      </c>
      <c r="P72" s="370">
        <v>0</v>
      </c>
      <c r="Q72" s="370">
        <v>0</v>
      </c>
      <c r="R72" s="370">
        <v>1745</v>
      </c>
      <c r="S72" s="68">
        <f t="shared" si="52"/>
        <v>1745</v>
      </c>
      <c r="T72" s="63" t="s">
        <v>1076</v>
      </c>
      <c r="U72" s="531" t="s">
        <v>1196</v>
      </c>
      <c r="V72" s="370">
        <v>1719.22</v>
      </c>
      <c r="W72" s="370">
        <v>26.17</v>
      </c>
      <c r="X72" s="370">
        <v>1745.39</v>
      </c>
      <c r="Y72" s="68">
        <f t="shared" si="53"/>
        <v>1745.39</v>
      </c>
      <c r="Z72" s="345"/>
      <c r="AA72" s="347"/>
      <c r="AB72" s="345"/>
      <c r="AC72" s="345"/>
      <c r="AD72" s="345"/>
      <c r="AE72" s="68">
        <f t="shared" si="54"/>
        <v>0</v>
      </c>
      <c r="AF72" s="366">
        <v>2020</v>
      </c>
      <c r="AG72" s="358"/>
      <c r="AH72" s="359">
        <v>2759.7326676114239</v>
      </c>
      <c r="AI72" s="360"/>
      <c r="AJ72" s="360"/>
      <c r="AK72" s="360" t="str">
        <f t="shared" si="55"/>
        <v>VV</v>
      </c>
      <c r="AL72" s="18"/>
      <c r="AM72" s="360" t="str">
        <f t="shared" si="56"/>
        <v>1</v>
      </c>
      <c r="AN72" s="360" t="str">
        <f t="shared" si="57"/>
        <v>1</v>
      </c>
      <c r="AO72" s="360"/>
      <c r="AP72" s="346" t="str">
        <f t="shared" si="58"/>
        <v>1</v>
      </c>
      <c r="AQ72" s="360" t="str">
        <f t="shared" si="59"/>
        <v>1.1..1</v>
      </c>
      <c r="AR72" s="530"/>
      <c r="AS72" s="362" t="s">
        <v>155</v>
      </c>
      <c r="AT72" s="367">
        <v>2803</v>
      </c>
      <c r="AU72" s="367">
        <v>1744</v>
      </c>
      <c r="AV72" s="368">
        <f>AU72/AT72</f>
        <v>0.62219051016767746</v>
      </c>
      <c r="AW72" s="367">
        <v>1544</v>
      </c>
      <c r="AX72" s="368">
        <f>AW72/AT72</f>
        <v>0.5508383874420264</v>
      </c>
      <c r="AY72" s="367">
        <v>1260</v>
      </c>
      <c r="AZ72" s="368">
        <f>AY72/AT72</f>
        <v>0.44951837317160187</v>
      </c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</row>
    <row r="73" spans="1:68" ht="20.25" customHeight="1">
      <c r="A73" s="100">
        <v>13</v>
      </c>
      <c r="B73" s="100" t="s">
        <v>36</v>
      </c>
      <c r="C73" s="100" t="s">
        <v>1967</v>
      </c>
      <c r="D73" s="102" t="s">
        <v>222</v>
      </c>
      <c r="E73" s="100" t="str">
        <f t="shared" si="0"/>
        <v>Sama</v>
      </c>
      <c r="F73" s="63">
        <f t="shared" si="50"/>
        <v>65</v>
      </c>
      <c r="G73" s="63">
        <v>9</v>
      </c>
      <c r="H73" s="62" t="s">
        <v>36</v>
      </c>
      <c r="I73" s="62" t="s">
        <v>222</v>
      </c>
      <c r="J73" s="66">
        <v>1327.4064315333644</v>
      </c>
      <c r="K73" s="533" t="s">
        <v>661</v>
      </c>
      <c r="L73" s="68">
        <f t="shared" si="63"/>
        <v>0</v>
      </c>
      <c r="M73" s="63"/>
      <c r="N73" s="365" t="e">
        <f t="shared" si="51"/>
        <v>#VALUE!</v>
      </c>
      <c r="O73" s="347"/>
      <c r="P73" s="370"/>
      <c r="Q73" s="370"/>
      <c r="R73" s="370"/>
      <c r="S73" s="68">
        <f t="shared" si="52"/>
        <v>0</v>
      </c>
      <c r="T73" s="63"/>
      <c r="U73" s="347"/>
      <c r="V73" s="370"/>
      <c r="W73" s="370"/>
      <c r="X73" s="370"/>
      <c r="Y73" s="68">
        <f t="shared" si="53"/>
        <v>0</v>
      </c>
      <c r="Z73" s="345"/>
      <c r="AA73" s="347"/>
      <c r="AB73" s="345"/>
      <c r="AC73" s="345"/>
      <c r="AD73" s="345"/>
      <c r="AE73" s="68">
        <f t="shared" si="54"/>
        <v>0</v>
      </c>
      <c r="AF73" s="366" t="s">
        <v>1097</v>
      </c>
      <c r="AG73" s="358"/>
      <c r="AH73" s="359">
        <v>1265.8837549517964</v>
      </c>
      <c r="AI73" s="360"/>
      <c r="AJ73" s="360"/>
      <c r="AK73" s="360" t="str">
        <f t="shared" si="55"/>
        <v/>
      </c>
      <c r="AL73" s="18"/>
      <c r="AM73" s="360" t="e">
        <f t="shared" si="56"/>
        <v>#VALUE!</v>
      </c>
      <c r="AN73" s="360" t="str">
        <f t="shared" si="57"/>
        <v>2</v>
      </c>
      <c r="AO73" s="360"/>
      <c r="AP73" s="346" t="str">
        <f t="shared" si="58"/>
        <v>2</v>
      </c>
      <c r="AQ73" s="360" t="e">
        <f t="shared" si="59"/>
        <v>#VALUE!</v>
      </c>
      <c r="AR73" s="530"/>
      <c r="AS73" s="360"/>
      <c r="AT73" s="362"/>
      <c r="AU73" s="362"/>
      <c r="AV73" s="362"/>
      <c r="AW73" s="362"/>
      <c r="AX73" s="362"/>
      <c r="AY73" s="362"/>
      <c r="AZ73" s="362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</row>
    <row r="74" spans="1:68" ht="20.25" customHeight="1">
      <c r="A74" s="100">
        <v>13</v>
      </c>
      <c r="B74" s="100" t="s">
        <v>36</v>
      </c>
      <c r="C74" s="100" t="s">
        <v>1968</v>
      </c>
      <c r="D74" s="102" t="s">
        <v>224</v>
      </c>
      <c r="E74" s="100" t="str">
        <f t="shared" si="0"/>
        <v>Sama</v>
      </c>
      <c r="F74" s="63">
        <f t="shared" si="50"/>
        <v>66</v>
      </c>
      <c r="G74" s="63">
        <v>10</v>
      </c>
      <c r="H74" s="62" t="s">
        <v>36</v>
      </c>
      <c r="I74" s="62" t="s">
        <v>224</v>
      </c>
      <c r="J74" s="66">
        <v>1143.1113912762846</v>
      </c>
      <c r="K74" s="533" t="s">
        <v>123</v>
      </c>
      <c r="L74" s="68">
        <f t="shared" si="63"/>
        <v>0</v>
      </c>
      <c r="M74" s="63"/>
      <c r="N74" s="365">
        <f t="shared" si="51"/>
        <v>2012</v>
      </c>
      <c r="O74" s="531" t="s">
        <v>1199</v>
      </c>
      <c r="P74" s="370"/>
      <c r="Q74" s="370"/>
      <c r="R74" s="370"/>
      <c r="S74" s="68">
        <f t="shared" si="52"/>
        <v>0</v>
      </c>
      <c r="T74" s="63"/>
      <c r="U74" s="347"/>
      <c r="V74" s="370"/>
      <c r="W74" s="370"/>
      <c r="X74" s="370"/>
      <c r="Y74" s="68">
        <f t="shared" si="53"/>
        <v>0</v>
      </c>
      <c r="Z74" s="345"/>
      <c r="AA74" s="347"/>
      <c r="AB74" s="345"/>
      <c r="AC74" s="345"/>
      <c r="AD74" s="345"/>
      <c r="AE74" s="68">
        <f t="shared" si="54"/>
        <v>0</v>
      </c>
      <c r="AF74" s="366" t="s">
        <v>1097</v>
      </c>
      <c r="AG74" s="358"/>
      <c r="AH74" s="359">
        <v>881.17932955998515</v>
      </c>
      <c r="AI74" s="360"/>
      <c r="AJ74" s="360"/>
      <c r="AK74" s="360" t="str">
        <f t="shared" si="55"/>
        <v/>
      </c>
      <c r="AL74" s="18"/>
      <c r="AM74" s="360" t="str">
        <f t="shared" si="56"/>
        <v>2</v>
      </c>
      <c r="AN74" s="360" t="str">
        <f t="shared" si="57"/>
        <v>2</v>
      </c>
      <c r="AO74" s="360"/>
      <c r="AP74" s="346" t="str">
        <f t="shared" si="58"/>
        <v>2</v>
      </c>
      <c r="AQ74" s="360" t="str">
        <f t="shared" si="59"/>
        <v>2.2..2</v>
      </c>
      <c r="AR74" s="530"/>
      <c r="AS74" s="360"/>
      <c r="AT74" s="362"/>
      <c r="AU74" s="362"/>
      <c r="AV74" s="362"/>
      <c r="AW74" s="362"/>
      <c r="AX74" s="362"/>
      <c r="AY74" s="362"/>
      <c r="AZ74" s="362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</row>
    <row r="75" spans="1:68" ht="20.25" customHeight="1">
      <c r="A75" s="100">
        <v>13</v>
      </c>
      <c r="B75" s="100" t="s">
        <v>36</v>
      </c>
      <c r="C75" s="363">
        <v>45120</v>
      </c>
      <c r="D75" s="102" t="s">
        <v>226</v>
      </c>
      <c r="E75" s="100" t="str">
        <f t="shared" si="0"/>
        <v>Sama</v>
      </c>
      <c r="F75" s="63">
        <f t="shared" si="50"/>
        <v>67</v>
      </c>
      <c r="G75" s="63">
        <v>11</v>
      </c>
      <c r="H75" s="62" t="s">
        <v>36</v>
      </c>
      <c r="I75" s="62" t="s">
        <v>226</v>
      </c>
      <c r="J75" s="66">
        <v>19426.492025371288</v>
      </c>
      <c r="K75" s="533" t="s">
        <v>104</v>
      </c>
      <c r="L75" s="68">
        <f t="shared" si="63"/>
        <v>3200</v>
      </c>
      <c r="M75" s="63"/>
      <c r="N75" s="365">
        <f t="shared" si="51"/>
        <v>2012</v>
      </c>
      <c r="O75" s="531" t="s">
        <v>1201</v>
      </c>
      <c r="P75" s="68">
        <v>3200</v>
      </c>
      <c r="Q75" s="68">
        <v>0</v>
      </c>
      <c r="R75" s="68">
        <v>3200</v>
      </c>
      <c r="S75" s="68">
        <f t="shared" si="52"/>
        <v>3200</v>
      </c>
      <c r="T75" s="63"/>
      <c r="U75" s="347"/>
      <c r="V75" s="370"/>
      <c r="W75" s="370"/>
      <c r="X75" s="370"/>
      <c r="Y75" s="68">
        <f t="shared" si="53"/>
        <v>0</v>
      </c>
      <c r="Z75" s="345"/>
      <c r="AA75" s="347"/>
      <c r="AB75" s="345"/>
      <c r="AC75" s="345"/>
      <c r="AD75" s="345"/>
      <c r="AE75" s="68">
        <f t="shared" si="54"/>
        <v>0</v>
      </c>
      <c r="AF75" s="366">
        <v>2023</v>
      </c>
      <c r="AG75" s="358" t="s">
        <v>1160</v>
      </c>
      <c r="AH75" s="359">
        <v>19440.824327064925</v>
      </c>
      <c r="AI75" s="360"/>
      <c r="AJ75" s="360"/>
      <c r="AK75" s="360" t="str">
        <f t="shared" si="55"/>
        <v/>
      </c>
      <c r="AL75" s="18"/>
      <c r="AM75" s="360" t="str">
        <f t="shared" si="56"/>
        <v>2</v>
      </c>
      <c r="AN75" s="360" t="str">
        <f t="shared" si="57"/>
        <v>1</v>
      </c>
      <c r="AO75" s="360"/>
      <c r="AP75" s="346" t="str">
        <f t="shared" si="58"/>
        <v>2</v>
      </c>
      <c r="AQ75" s="360" t="str">
        <f t="shared" si="59"/>
        <v>2.1..2</v>
      </c>
      <c r="AR75" s="530"/>
      <c r="AS75" s="360"/>
      <c r="AT75" s="362"/>
      <c r="AU75" s="362"/>
      <c r="AV75" s="362"/>
      <c r="AW75" s="362"/>
      <c r="AX75" s="362"/>
      <c r="AY75" s="362"/>
      <c r="AZ75" s="362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</row>
    <row r="76" spans="1:68" ht="20.25" customHeight="1">
      <c r="A76" s="100">
        <v>13</v>
      </c>
      <c r="B76" s="100" t="s">
        <v>36</v>
      </c>
      <c r="C76" s="363">
        <v>45059</v>
      </c>
      <c r="D76" s="102" t="s">
        <v>228</v>
      </c>
      <c r="E76" s="100" t="str">
        <f t="shared" si="0"/>
        <v>Sama</v>
      </c>
      <c r="F76" s="63">
        <f t="shared" si="50"/>
        <v>68</v>
      </c>
      <c r="G76" s="63">
        <v>12</v>
      </c>
      <c r="H76" s="62" t="s">
        <v>36</v>
      </c>
      <c r="I76" s="62" t="s">
        <v>228</v>
      </c>
      <c r="J76" s="66">
        <v>18365.530221913777</v>
      </c>
      <c r="K76" s="533" t="s">
        <v>91</v>
      </c>
      <c r="L76" s="68">
        <f t="shared" si="63"/>
        <v>22735</v>
      </c>
      <c r="M76" s="63" t="s">
        <v>1076</v>
      </c>
      <c r="N76" s="365">
        <f t="shared" si="51"/>
        <v>2020</v>
      </c>
      <c r="O76" s="531" t="s">
        <v>155</v>
      </c>
      <c r="P76" s="370">
        <v>0</v>
      </c>
      <c r="Q76" s="370">
        <v>0</v>
      </c>
      <c r="R76" s="370">
        <v>22735</v>
      </c>
      <c r="S76" s="68">
        <f t="shared" si="52"/>
        <v>22735</v>
      </c>
      <c r="T76" s="63"/>
      <c r="U76" s="347"/>
      <c r="V76" s="370"/>
      <c r="W76" s="370"/>
      <c r="X76" s="370"/>
      <c r="Y76" s="68">
        <f t="shared" si="53"/>
        <v>0</v>
      </c>
      <c r="Z76" s="345"/>
      <c r="AA76" s="347"/>
      <c r="AB76" s="345"/>
      <c r="AC76" s="345"/>
      <c r="AD76" s="345"/>
      <c r="AE76" s="68">
        <f t="shared" si="54"/>
        <v>0</v>
      </c>
      <c r="AF76" s="366">
        <v>2020</v>
      </c>
      <c r="AG76" s="358"/>
      <c r="AH76" s="359">
        <v>17793.339379966528</v>
      </c>
      <c r="AI76" s="360"/>
      <c r="AJ76" s="360"/>
      <c r="AK76" s="360" t="str">
        <f t="shared" si="55"/>
        <v>V</v>
      </c>
      <c r="AL76" s="18"/>
      <c r="AM76" s="360" t="str">
        <f t="shared" si="56"/>
        <v>1</v>
      </c>
      <c r="AN76" s="360" t="str">
        <f t="shared" si="57"/>
        <v>1</v>
      </c>
      <c r="AO76" s="360"/>
      <c r="AP76" s="346" t="str">
        <f t="shared" si="58"/>
        <v>2</v>
      </c>
      <c r="AQ76" s="360" t="str">
        <f t="shared" si="59"/>
        <v>1.1..2</v>
      </c>
      <c r="AR76" s="530"/>
      <c r="AS76" s="362" t="s">
        <v>155</v>
      </c>
      <c r="AT76" s="362">
        <v>18366</v>
      </c>
      <c r="AU76" s="362">
        <v>19095</v>
      </c>
      <c r="AV76" s="368">
        <f>AU76/AT76</f>
        <v>1.0396929108134596</v>
      </c>
      <c r="AW76" s="362">
        <v>13503</v>
      </c>
      <c r="AX76" s="368">
        <f>AW76/AT76</f>
        <v>0.73521724926494614</v>
      </c>
      <c r="AY76" s="362">
        <v>4862</v>
      </c>
      <c r="AZ76" s="368">
        <f>AY76/AT76</f>
        <v>0.26472830229772404</v>
      </c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</row>
    <row r="77" spans="1:68" ht="20.25" customHeight="1">
      <c r="A77" s="100">
        <v>13</v>
      </c>
      <c r="B77" s="100" t="s">
        <v>36</v>
      </c>
      <c r="C77" s="363">
        <v>45151</v>
      </c>
      <c r="D77" s="102" t="s">
        <v>229</v>
      </c>
      <c r="E77" s="100" t="str">
        <f t="shared" si="0"/>
        <v>Sama</v>
      </c>
      <c r="F77" s="63">
        <f t="shared" si="50"/>
        <v>69</v>
      </c>
      <c r="G77" s="63">
        <v>13</v>
      </c>
      <c r="H77" s="62" t="s">
        <v>36</v>
      </c>
      <c r="I77" s="62" t="s">
        <v>229</v>
      </c>
      <c r="J77" s="66">
        <v>17751.540424370301</v>
      </c>
      <c r="K77" s="533" t="s">
        <v>661</v>
      </c>
      <c r="L77" s="68">
        <f t="shared" si="63"/>
        <v>0</v>
      </c>
      <c r="M77" s="63"/>
      <c r="N77" s="365" t="e">
        <f t="shared" si="51"/>
        <v>#VALUE!</v>
      </c>
      <c r="O77" s="347"/>
      <c r="P77" s="370"/>
      <c r="Q77" s="370"/>
      <c r="R77" s="370"/>
      <c r="S77" s="68">
        <f t="shared" si="52"/>
        <v>0</v>
      </c>
      <c r="T77" s="63"/>
      <c r="U77" s="347"/>
      <c r="V77" s="370"/>
      <c r="W77" s="370"/>
      <c r="X77" s="370"/>
      <c r="Y77" s="68">
        <f t="shared" si="53"/>
        <v>0</v>
      </c>
      <c r="Z77" s="345"/>
      <c r="AA77" s="347"/>
      <c r="AB77" s="345"/>
      <c r="AC77" s="345"/>
      <c r="AD77" s="345"/>
      <c r="AE77" s="68">
        <f t="shared" si="54"/>
        <v>0</v>
      </c>
      <c r="AF77" s="366">
        <v>2021</v>
      </c>
      <c r="AG77" s="358"/>
      <c r="AH77" s="359">
        <v>16355.634067479152</v>
      </c>
      <c r="AI77" s="360"/>
      <c r="AJ77" s="360"/>
      <c r="AK77" s="360" t="str">
        <f t="shared" si="55"/>
        <v/>
      </c>
      <c r="AL77" s="18"/>
      <c r="AM77" s="360" t="e">
        <f t="shared" si="56"/>
        <v>#VALUE!</v>
      </c>
      <c r="AN77" s="360" t="str">
        <f t="shared" si="57"/>
        <v>2</v>
      </c>
      <c r="AO77" s="360"/>
      <c r="AP77" s="346" t="str">
        <f t="shared" si="58"/>
        <v>2</v>
      </c>
      <c r="AQ77" s="360" t="e">
        <f t="shared" si="59"/>
        <v>#VALUE!</v>
      </c>
      <c r="AR77" s="530"/>
      <c r="AS77" s="360"/>
      <c r="AT77" s="362"/>
      <c r="AU77" s="362"/>
      <c r="AV77" s="362"/>
      <c r="AW77" s="362"/>
      <c r="AX77" s="362"/>
      <c r="AY77" s="362"/>
      <c r="AZ77" s="362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</row>
    <row r="78" spans="1:68" ht="20.25" customHeight="1">
      <c r="A78" s="100">
        <v>13</v>
      </c>
      <c r="B78" s="100" t="s">
        <v>36</v>
      </c>
      <c r="C78" s="369">
        <v>45273</v>
      </c>
      <c r="D78" s="102" t="s">
        <v>231</v>
      </c>
      <c r="E78" s="100" t="str">
        <f t="shared" si="0"/>
        <v>Sama</v>
      </c>
      <c r="F78" s="63">
        <f t="shared" si="50"/>
        <v>70</v>
      </c>
      <c r="G78" s="63">
        <v>14</v>
      </c>
      <c r="H78" s="62" t="s">
        <v>36</v>
      </c>
      <c r="I78" s="62" t="s">
        <v>231</v>
      </c>
      <c r="J78" s="66">
        <v>8872.9282717311053</v>
      </c>
      <c r="K78" s="533" t="s">
        <v>91</v>
      </c>
      <c r="L78" s="68">
        <f>AE78</f>
        <v>9390</v>
      </c>
      <c r="M78" s="63"/>
      <c r="N78" s="365" t="e">
        <f t="shared" si="51"/>
        <v>#VALUE!</v>
      </c>
      <c r="O78" s="382"/>
      <c r="P78" s="68"/>
      <c r="Q78" s="68"/>
      <c r="R78" s="68"/>
      <c r="S78" s="68">
        <f t="shared" si="52"/>
        <v>0</v>
      </c>
      <c r="T78" s="63"/>
      <c r="U78" s="347" t="s">
        <v>193</v>
      </c>
      <c r="V78" s="370">
        <v>13105</v>
      </c>
      <c r="W78" s="370">
        <v>0</v>
      </c>
      <c r="X78" s="370">
        <v>13105</v>
      </c>
      <c r="Y78" s="68">
        <f t="shared" si="53"/>
        <v>13105</v>
      </c>
      <c r="Z78" s="345" t="s">
        <v>1076</v>
      </c>
      <c r="AA78" s="347" t="s">
        <v>1205</v>
      </c>
      <c r="AB78" s="345">
        <v>9390</v>
      </c>
      <c r="AC78" s="345"/>
      <c r="AD78" s="345">
        <v>9390</v>
      </c>
      <c r="AE78" s="68">
        <f t="shared" si="54"/>
        <v>9390</v>
      </c>
      <c r="AF78" s="364">
        <v>2021</v>
      </c>
      <c r="AG78" s="344"/>
      <c r="AH78" s="84">
        <v>8626.2160451335658</v>
      </c>
      <c r="AI78" s="63"/>
      <c r="AJ78" s="63"/>
      <c r="AK78" s="63" t="str">
        <f t="shared" si="55"/>
        <v>V</v>
      </c>
      <c r="AL78" s="47"/>
      <c r="AM78" s="63" t="e">
        <f t="shared" si="56"/>
        <v>#VALUE!</v>
      </c>
      <c r="AN78" s="63" t="str">
        <f t="shared" si="57"/>
        <v>2</v>
      </c>
      <c r="AO78" s="63"/>
      <c r="AP78" s="346" t="str">
        <f t="shared" si="58"/>
        <v>1</v>
      </c>
      <c r="AQ78" s="63" t="e">
        <f t="shared" si="59"/>
        <v>#VALUE!</v>
      </c>
      <c r="AR78" s="534"/>
      <c r="AS78" s="64" t="s">
        <v>1205</v>
      </c>
      <c r="AT78" s="95">
        <v>8872.93</v>
      </c>
      <c r="AU78" s="95">
        <v>9390</v>
      </c>
      <c r="AV78" s="371">
        <f t="shared" ref="AV78:AV80" si="67">AU78/AT78</f>
        <v>1.0582750004789849</v>
      </c>
      <c r="AW78" s="95">
        <v>7740</v>
      </c>
      <c r="AX78" s="371"/>
      <c r="AY78" s="95">
        <v>1133</v>
      </c>
      <c r="AZ78" s="371">
        <f t="shared" ref="AZ78:AZ80" si="68">AY78/AT78</f>
        <v>0.12769175458388604</v>
      </c>
      <c r="BA78" s="47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</row>
    <row r="79" spans="1:68" ht="20.25" customHeight="1">
      <c r="A79" s="100">
        <v>13</v>
      </c>
      <c r="B79" s="100" t="s">
        <v>36</v>
      </c>
      <c r="C79" s="363">
        <v>44939</v>
      </c>
      <c r="D79" s="102" t="s">
        <v>233</v>
      </c>
      <c r="E79" s="100" t="str">
        <f t="shared" si="0"/>
        <v>Sama</v>
      </c>
      <c r="F79" s="63">
        <f t="shared" si="50"/>
        <v>71</v>
      </c>
      <c r="G79" s="63">
        <v>15</v>
      </c>
      <c r="H79" s="62" t="s">
        <v>36</v>
      </c>
      <c r="I79" s="62" t="s">
        <v>233</v>
      </c>
      <c r="J79" s="66">
        <v>23885.105385055442</v>
      </c>
      <c r="K79" s="533" t="s">
        <v>91</v>
      </c>
      <c r="L79" s="68">
        <f>Y79</f>
        <v>17944.2</v>
      </c>
      <c r="M79" s="63"/>
      <c r="N79" s="365">
        <f t="shared" si="51"/>
        <v>2020</v>
      </c>
      <c r="O79" s="382" t="s">
        <v>262</v>
      </c>
      <c r="P79" s="68">
        <v>15000</v>
      </c>
      <c r="Q79" s="68">
        <v>0</v>
      </c>
      <c r="R79" s="68">
        <v>0</v>
      </c>
      <c r="S79" s="68">
        <f t="shared" si="52"/>
        <v>15000</v>
      </c>
      <c r="T79" s="63" t="s">
        <v>1076</v>
      </c>
      <c r="U79" s="347" t="s">
        <v>234</v>
      </c>
      <c r="V79" s="370">
        <v>17944.2</v>
      </c>
      <c r="W79" s="370">
        <v>4801.8999999999996</v>
      </c>
      <c r="X79" s="370"/>
      <c r="Y79" s="68">
        <f t="shared" si="53"/>
        <v>17944.2</v>
      </c>
      <c r="Z79" s="345"/>
      <c r="AA79" s="347"/>
      <c r="AB79" s="345"/>
      <c r="AC79" s="345"/>
      <c r="AD79" s="345"/>
      <c r="AE79" s="68">
        <f t="shared" si="54"/>
        <v>0</v>
      </c>
      <c r="AF79" s="366">
        <v>2020</v>
      </c>
      <c r="AG79" s="358"/>
      <c r="AH79" s="359">
        <v>23857.830626328523</v>
      </c>
      <c r="AI79" s="360"/>
      <c r="AJ79" s="360"/>
      <c r="AK79" s="360" t="str">
        <f t="shared" si="55"/>
        <v>V</v>
      </c>
      <c r="AL79" s="18"/>
      <c r="AM79" s="360" t="str">
        <f t="shared" si="56"/>
        <v>1</v>
      </c>
      <c r="AN79" s="360" t="str">
        <f t="shared" si="57"/>
        <v>1</v>
      </c>
      <c r="AO79" s="360"/>
      <c r="AP79" s="346" t="str">
        <f t="shared" si="58"/>
        <v>1</v>
      </c>
      <c r="AQ79" s="360" t="str">
        <f t="shared" si="59"/>
        <v>1.1..1</v>
      </c>
      <c r="AR79" s="530"/>
      <c r="AS79" s="362" t="s">
        <v>234</v>
      </c>
      <c r="AT79" s="362">
        <v>23888</v>
      </c>
      <c r="AU79" s="362">
        <v>22742</v>
      </c>
      <c r="AV79" s="368">
        <f t="shared" si="67"/>
        <v>0.95202612190221036</v>
      </c>
      <c r="AW79" s="362">
        <v>19212</v>
      </c>
      <c r="AX79" s="368">
        <f>AW79/AT79</f>
        <v>0.80425318151373071</v>
      </c>
      <c r="AY79" s="362">
        <v>4676</v>
      </c>
      <c r="AZ79" s="368">
        <f t="shared" si="68"/>
        <v>0.19574681848626926</v>
      </c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</row>
    <row r="80" spans="1:68" ht="20.25" customHeight="1">
      <c r="A80" s="100">
        <v>13</v>
      </c>
      <c r="B80" s="100" t="s">
        <v>36</v>
      </c>
      <c r="C80" s="363">
        <v>44998</v>
      </c>
      <c r="D80" s="102" t="s">
        <v>235</v>
      </c>
      <c r="E80" s="100" t="str">
        <f t="shared" si="0"/>
        <v>Sama</v>
      </c>
      <c r="F80" s="63">
        <f t="shared" si="50"/>
        <v>72</v>
      </c>
      <c r="G80" s="63">
        <v>16</v>
      </c>
      <c r="H80" s="62" t="s">
        <v>36</v>
      </c>
      <c r="I80" s="62" t="s">
        <v>235</v>
      </c>
      <c r="J80" s="66">
        <v>10867.287466268239</v>
      </c>
      <c r="K80" s="533" t="s">
        <v>91</v>
      </c>
      <c r="L80" s="68">
        <f t="shared" ref="L80:L83" si="69">IF(S80&gt;0,S80,IF(Y80&gt;0,Y80,IF(AE80&gt;0,AE80,0)))</f>
        <v>10098.64</v>
      </c>
      <c r="M80" s="63"/>
      <c r="N80" s="365">
        <f t="shared" si="51"/>
        <v>2012</v>
      </c>
      <c r="O80" s="531" t="s">
        <v>801</v>
      </c>
      <c r="P80" s="68"/>
      <c r="Q80" s="68"/>
      <c r="R80" s="68"/>
      <c r="S80" s="68">
        <f t="shared" si="52"/>
        <v>0</v>
      </c>
      <c r="T80" s="63"/>
      <c r="U80" s="385"/>
      <c r="V80" s="370"/>
      <c r="W80" s="370"/>
      <c r="X80" s="370"/>
      <c r="Y80" s="68">
        <f t="shared" si="53"/>
        <v>0</v>
      </c>
      <c r="Z80" s="345" t="s">
        <v>1076</v>
      </c>
      <c r="AA80" s="385" t="s">
        <v>1208</v>
      </c>
      <c r="AB80" s="345">
        <v>9726.14</v>
      </c>
      <c r="AC80" s="345">
        <v>372.5</v>
      </c>
      <c r="AD80" s="345">
        <f>AB80+AC80</f>
        <v>10098.64</v>
      </c>
      <c r="AE80" s="68">
        <f t="shared" si="54"/>
        <v>10098.64</v>
      </c>
      <c r="AF80" s="364">
        <v>2021</v>
      </c>
      <c r="AG80" s="344"/>
      <c r="AH80" s="84">
        <v>9997.494955627144</v>
      </c>
      <c r="AI80" s="63"/>
      <c r="AJ80" s="63"/>
      <c r="AK80" s="63" t="str">
        <f t="shared" si="55"/>
        <v>V</v>
      </c>
      <c r="AL80" s="47"/>
      <c r="AM80" s="63" t="str">
        <f t="shared" si="56"/>
        <v>2</v>
      </c>
      <c r="AN80" s="63" t="str">
        <f t="shared" si="57"/>
        <v>2</v>
      </c>
      <c r="AO80" s="63"/>
      <c r="AP80" s="346" t="str">
        <f t="shared" si="58"/>
        <v>1</v>
      </c>
      <c r="AQ80" s="63" t="str">
        <f t="shared" si="59"/>
        <v>2.2..1</v>
      </c>
      <c r="AR80" s="534"/>
      <c r="AS80" s="64" t="s">
        <v>1969</v>
      </c>
      <c r="AT80" s="95">
        <v>10867.29</v>
      </c>
      <c r="AU80" s="95">
        <v>10098.64</v>
      </c>
      <c r="AV80" s="371">
        <f t="shared" si="67"/>
        <v>0.92926939466969216</v>
      </c>
      <c r="AW80" s="95">
        <v>9488</v>
      </c>
      <c r="AX80" s="371"/>
      <c r="AY80" s="95">
        <v>1380</v>
      </c>
      <c r="AZ80" s="371">
        <f t="shared" si="68"/>
        <v>0.12698658083109957</v>
      </c>
      <c r="BA80" s="47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</row>
    <row r="81" spans="1:68" ht="20.25" customHeight="1">
      <c r="A81" s="100">
        <v>13</v>
      </c>
      <c r="B81" s="100" t="s">
        <v>36</v>
      </c>
      <c r="C81" s="363">
        <v>44970</v>
      </c>
      <c r="D81" s="102" t="s">
        <v>237</v>
      </c>
      <c r="E81" s="100" t="str">
        <f t="shared" si="0"/>
        <v>Sama</v>
      </c>
      <c r="F81" s="63">
        <f t="shared" si="50"/>
        <v>73</v>
      </c>
      <c r="G81" s="63">
        <v>17</v>
      </c>
      <c r="H81" s="62" t="s">
        <v>36</v>
      </c>
      <c r="I81" s="62" t="s">
        <v>237</v>
      </c>
      <c r="J81" s="66">
        <v>20561.479368018274</v>
      </c>
      <c r="K81" s="533" t="s">
        <v>661</v>
      </c>
      <c r="L81" s="68">
        <f t="shared" si="69"/>
        <v>0</v>
      </c>
      <c r="M81" s="63"/>
      <c r="N81" s="365" t="e">
        <f t="shared" si="51"/>
        <v>#VALUE!</v>
      </c>
      <c r="O81" s="382"/>
      <c r="P81" s="68"/>
      <c r="Q81" s="68"/>
      <c r="R81" s="68"/>
      <c r="S81" s="68">
        <f t="shared" si="52"/>
        <v>0</v>
      </c>
      <c r="T81" s="63"/>
      <c r="U81" s="385"/>
      <c r="V81" s="370"/>
      <c r="W81" s="370"/>
      <c r="X81" s="370"/>
      <c r="Y81" s="68">
        <f t="shared" si="53"/>
        <v>0</v>
      </c>
      <c r="Z81" s="345"/>
      <c r="AA81" s="385"/>
      <c r="AB81" s="345"/>
      <c r="AC81" s="345"/>
      <c r="AD81" s="345"/>
      <c r="AE81" s="68">
        <f t="shared" si="54"/>
        <v>0</v>
      </c>
      <c r="AF81" s="366">
        <v>2023</v>
      </c>
      <c r="AG81" s="358" t="s">
        <v>1160</v>
      </c>
      <c r="AH81" s="359">
        <v>21384.131838067708</v>
      </c>
      <c r="AI81" s="360"/>
      <c r="AJ81" s="360"/>
      <c r="AK81" s="360" t="str">
        <f t="shared" si="55"/>
        <v/>
      </c>
      <c r="AL81" s="18"/>
      <c r="AM81" s="360" t="e">
        <f t="shared" si="56"/>
        <v>#VALUE!</v>
      </c>
      <c r="AN81" s="360" t="str">
        <f t="shared" si="57"/>
        <v>2</v>
      </c>
      <c r="AO81" s="360"/>
      <c r="AP81" s="346" t="str">
        <f t="shared" si="58"/>
        <v>2</v>
      </c>
      <c r="AQ81" s="360" t="e">
        <f t="shared" si="59"/>
        <v>#VALUE!</v>
      </c>
      <c r="AR81" s="530"/>
      <c r="AS81" s="360"/>
      <c r="AT81" s="362"/>
      <c r="AU81" s="362"/>
      <c r="AV81" s="362"/>
      <c r="AW81" s="362"/>
      <c r="AX81" s="362"/>
      <c r="AY81" s="362"/>
      <c r="AZ81" s="362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</row>
    <row r="82" spans="1:68" ht="20.25" customHeight="1">
      <c r="A82" s="100">
        <v>13</v>
      </c>
      <c r="B82" s="100" t="s">
        <v>36</v>
      </c>
      <c r="C82" s="369">
        <v>45243</v>
      </c>
      <c r="D82" s="102" t="s">
        <v>239</v>
      </c>
      <c r="E82" s="100" t="str">
        <f t="shared" si="0"/>
        <v>Sama</v>
      </c>
      <c r="F82" s="63">
        <f t="shared" si="50"/>
        <v>74</v>
      </c>
      <c r="G82" s="63">
        <v>18</v>
      </c>
      <c r="H82" s="62" t="s">
        <v>36</v>
      </c>
      <c r="I82" s="62" t="s">
        <v>239</v>
      </c>
      <c r="J82" s="66">
        <v>8102.8563347897043</v>
      </c>
      <c r="K82" s="533" t="s">
        <v>104</v>
      </c>
      <c r="L82" s="68">
        <f t="shared" si="69"/>
        <v>9570</v>
      </c>
      <c r="M82" s="63"/>
      <c r="N82" s="365">
        <f t="shared" si="51"/>
        <v>2012</v>
      </c>
      <c r="O82" s="382" t="s">
        <v>223</v>
      </c>
      <c r="P82" s="68">
        <v>9570</v>
      </c>
      <c r="Q82" s="68">
        <v>0</v>
      </c>
      <c r="R82" s="68">
        <v>9570</v>
      </c>
      <c r="S82" s="68">
        <f t="shared" si="52"/>
        <v>9570</v>
      </c>
      <c r="T82" s="63"/>
      <c r="U82" s="347"/>
      <c r="V82" s="370"/>
      <c r="W82" s="370"/>
      <c r="X82" s="370"/>
      <c r="Y82" s="68">
        <f t="shared" si="53"/>
        <v>0</v>
      </c>
      <c r="Z82" s="345"/>
      <c r="AA82" s="347"/>
      <c r="AB82" s="345"/>
      <c r="AC82" s="345"/>
      <c r="AD82" s="345"/>
      <c r="AE82" s="68">
        <f t="shared" si="54"/>
        <v>0</v>
      </c>
      <c r="AF82" s="366" t="s">
        <v>1177</v>
      </c>
      <c r="AG82" s="358"/>
      <c r="AH82" s="359">
        <v>10544.276930346741</v>
      </c>
      <c r="AI82" s="360"/>
      <c r="AJ82" s="360"/>
      <c r="AK82" s="360" t="str">
        <f t="shared" si="55"/>
        <v/>
      </c>
      <c r="AL82" s="18"/>
      <c r="AM82" s="360" t="str">
        <f t="shared" si="56"/>
        <v>2</v>
      </c>
      <c r="AN82" s="360" t="str">
        <f t="shared" si="57"/>
        <v>1</v>
      </c>
      <c r="AO82" s="360"/>
      <c r="AP82" s="346" t="str">
        <f t="shared" si="58"/>
        <v>2</v>
      </c>
      <c r="AQ82" s="360" t="str">
        <f t="shared" si="59"/>
        <v>2.1..2</v>
      </c>
      <c r="AR82" s="530"/>
      <c r="AS82" s="360"/>
      <c r="AT82" s="362"/>
      <c r="AU82" s="362"/>
      <c r="AV82" s="362"/>
      <c r="AW82" s="362"/>
      <c r="AX82" s="362"/>
      <c r="AY82" s="362"/>
      <c r="AZ82" s="362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</row>
    <row r="83" spans="1:68" ht="20.25" customHeight="1">
      <c r="A83" s="100">
        <v>13</v>
      </c>
      <c r="B83" s="100" t="s">
        <v>36</v>
      </c>
      <c r="C83" s="363">
        <v>45029</v>
      </c>
      <c r="D83" s="102" t="s">
        <v>240</v>
      </c>
      <c r="E83" s="100" t="str">
        <f t="shared" si="0"/>
        <v>Sama</v>
      </c>
      <c r="F83" s="63">
        <f t="shared" si="50"/>
        <v>75</v>
      </c>
      <c r="G83" s="63">
        <v>19</v>
      </c>
      <c r="H83" s="62" t="s">
        <v>36</v>
      </c>
      <c r="I83" s="62" t="s">
        <v>240</v>
      </c>
      <c r="J83" s="66">
        <v>21909.374729297306</v>
      </c>
      <c r="K83" s="533" t="s">
        <v>104</v>
      </c>
      <c r="L83" s="68">
        <f t="shared" si="69"/>
        <v>17809.66</v>
      </c>
      <c r="M83" s="63"/>
      <c r="N83" s="365">
        <f t="shared" si="51"/>
        <v>2012</v>
      </c>
      <c r="O83" s="382" t="s">
        <v>588</v>
      </c>
      <c r="P83" s="68">
        <v>17809.66</v>
      </c>
      <c r="Q83" s="68">
        <v>0</v>
      </c>
      <c r="R83" s="68">
        <v>17809.66</v>
      </c>
      <c r="S83" s="68">
        <f t="shared" si="52"/>
        <v>17809.66</v>
      </c>
      <c r="T83" s="63"/>
      <c r="U83" s="347"/>
      <c r="V83" s="370"/>
      <c r="W83" s="370"/>
      <c r="X83" s="370"/>
      <c r="Y83" s="68">
        <f t="shared" si="53"/>
        <v>0</v>
      </c>
      <c r="Z83" s="345"/>
      <c r="AA83" s="347"/>
      <c r="AB83" s="345"/>
      <c r="AC83" s="345"/>
      <c r="AD83" s="345"/>
      <c r="AE83" s="68">
        <f t="shared" si="54"/>
        <v>0</v>
      </c>
      <c r="AF83" s="366">
        <v>2023</v>
      </c>
      <c r="AG83" s="358" t="s">
        <v>1160</v>
      </c>
      <c r="AH83" s="359">
        <v>21952.072692700258</v>
      </c>
      <c r="AI83" s="360"/>
      <c r="AJ83" s="360"/>
      <c r="AK83" s="360" t="str">
        <f t="shared" si="55"/>
        <v/>
      </c>
      <c r="AL83" s="18"/>
      <c r="AM83" s="360" t="str">
        <f t="shared" si="56"/>
        <v>2</v>
      </c>
      <c r="AN83" s="360" t="str">
        <f t="shared" si="57"/>
        <v>1</v>
      </c>
      <c r="AO83" s="360"/>
      <c r="AP83" s="346" t="str">
        <f t="shared" si="58"/>
        <v>2</v>
      </c>
      <c r="AQ83" s="360" t="str">
        <f t="shared" si="59"/>
        <v>2.1..2</v>
      </c>
      <c r="AR83" s="530"/>
      <c r="AS83" s="360"/>
      <c r="AT83" s="362"/>
      <c r="AU83" s="362"/>
      <c r="AV83" s="362"/>
      <c r="AW83" s="362"/>
      <c r="AX83" s="362"/>
      <c r="AY83" s="362"/>
      <c r="AZ83" s="362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</row>
    <row r="84" spans="1:68" ht="20.25" customHeight="1">
      <c r="A84" s="100">
        <v>14</v>
      </c>
      <c r="B84" s="100" t="s">
        <v>37</v>
      </c>
      <c r="C84" s="100">
        <v>14</v>
      </c>
      <c r="D84" s="102" t="s">
        <v>1970</v>
      </c>
      <c r="E84" s="100" t="str">
        <f t="shared" si="0"/>
        <v>Sama</v>
      </c>
      <c r="F84" s="63"/>
      <c r="G84" s="341"/>
      <c r="H84" s="379"/>
      <c r="I84" s="379" t="s">
        <v>1970</v>
      </c>
      <c r="J84" s="380">
        <f>SUM(J85:J96)</f>
        <v>62689.363529890354</v>
      </c>
      <c r="K84" s="353">
        <f>COUNTIF(K85:K96,"D") + COUNTIF(K85:K96,"DS")</f>
        <v>9</v>
      </c>
      <c r="L84" s="384">
        <f>SUBTOTAL(9,L85:L96)</f>
        <v>38070</v>
      </c>
      <c r="M84" s="342">
        <f>COUNTIF(M85:M96,M88)</f>
        <v>6</v>
      </c>
      <c r="N84" s="386"/>
      <c r="O84" s="351">
        <v>8</v>
      </c>
      <c r="P84" s="384">
        <f t="shared" ref="P84:Q84" si="70">SUBTOTAL(9,P86:P96)</f>
        <v>0</v>
      </c>
      <c r="Q84" s="384">
        <f t="shared" si="70"/>
        <v>0</v>
      </c>
      <c r="R84" s="384">
        <f t="shared" ref="R84:S84" si="71">SUBTOTAL(9,R85:R96)</f>
        <v>24440</v>
      </c>
      <c r="S84" s="384">
        <f t="shared" si="71"/>
        <v>24440</v>
      </c>
      <c r="T84" s="342">
        <f>COUNTIF(T85:T96,T88)</f>
        <v>0</v>
      </c>
      <c r="U84" s="351">
        <v>4</v>
      </c>
      <c r="V84" s="384">
        <v>13630</v>
      </c>
      <c r="W84" s="384">
        <v>0</v>
      </c>
      <c r="X84" s="384">
        <v>0</v>
      </c>
      <c r="Y84" s="384">
        <f>SUBTOTAL(9,Y85:Y96)</f>
        <v>13630</v>
      </c>
      <c r="Z84" s="342">
        <f>COUNTIF(Z85:Z96,Z88)</f>
        <v>0</v>
      </c>
      <c r="AA84" s="351"/>
      <c r="AB84" s="337">
        <v>13630</v>
      </c>
      <c r="AC84" s="337">
        <v>0</v>
      </c>
      <c r="AD84" s="337">
        <v>0</v>
      </c>
      <c r="AE84" s="384">
        <f>SUBTOTAL(9,AE85:AE96)</f>
        <v>0</v>
      </c>
      <c r="AF84" s="357" t="s">
        <v>1138</v>
      </c>
      <c r="AG84" s="358"/>
      <c r="AH84" s="359"/>
      <c r="AI84" s="360"/>
      <c r="AJ84" s="360"/>
      <c r="AK84" s="361">
        <f>COUNTIF(AK85:AK96,"V") + COUNTIF(AK85:AK96,"VV") + COUNTIF(AK85:AK96,"VVV")</f>
        <v>6</v>
      </c>
      <c r="AL84" s="18"/>
      <c r="AM84" s="360"/>
      <c r="AN84" s="360"/>
      <c r="AO84" s="360"/>
      <c r="AP84" s="346"/>
      <c r="AQ84" s="360"/>
      <c r="AR84" s="530"/>
      <c r="AS84" s="360"/>
      <c r="AT84" s="362"/>
      <c r="AU84" s="362"/>
      <c r="AV84" s="362"/>
      <c r="AW84" s="362"/>
      <c r="AX84" s="362"/>
      <c r="AY84" s="362"/>
      <c r="AZ84" s="362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</row>
    <row r="85" spans="1:68" ht="20.25" customHeight="1">
      <c r="A85" s="100">
        <v>14</v>
      </c>
      <c r="B85" s="100" t="s">
        <v>37</v>
      </c>
      <c r="C85" s="363">
        <v>44999</v>
      </c>
      <c r="D85" s="102" t="s">
        <v>241</v>
      </c>
      <c r="E85" s="100" t="str">
        <f t="shared" si="0"/>
        <v>Sama</v>
      </c>
      <c r="F85" s="63">
        <f t="shared" ref="F85:F96" si="72">SUBTOTAL(3,$G$7:G85)</f>
        <v>76</v>
      </c>
      <c r="G85" s="63">
        <v>1</v>
      </c>
      <c r="H85" s="64" t="s">
        <v>37</v>
      </c>
      <c r="I85" s="64" t="s">
        <v>241</v>
      </c>
      <c r="J85" s="84">
        <v>2992.418267408932</v>
      </c>
      <c r="K85" s="533" t="s">
        <v>104</v>
      </c>
      <c r="L85" s="68">
        <f t="shared" ref="L85:L96" si="73">IF(S85&gt;0,S85,IF(Y85&gt;0,Y85,IF(AE85&gt;0,AE85,0)))</f>
        <v>2040</v>
      </c>
      <c r="M85" s="387"/>
      <c r="N85" s="365">
        <f t="shared" ref="N85:N96" si="74">VALUE(RIGHT(O85,4))</f>
        <v>2022</v>
      </c>
      <c r="O85" s="531" t="s">
        <v>159</v>
      </c>
      <c r="P85" s="388"/>
      <c r="Q85" s="388"/>
      <c r="R85" s="68">
        <v>2040</v>
      </c>
      <c r="S85" s="68">
        <f t="shared" ref="S85:S96" si="75">IF(R85&gt;0,R85,IF(P85&gt;0,P85,0))</f>
        <v>2040</v>
      </c>
      <c r="T85" s="387"/>
      <c r="U85" s="389"/>
      <c r="V85" s="390"/>
      <c r="W85" s="390"/>
      <c r="X85" s="390"/>
      <c r="Y85" s="68">
        <f t="shared" ref="Y85:Y96" si="76">IF(X85&gt;0,X85,IF(V85&gt;0,V85,0))</f>
        <v>0</v>
      </c>
      <c r="Z85" s="391"/>
      <c r="AA85" s="389"/>
      <c r="AB85" s="391"/>
      <c r="AC85" s="391"/>
      <c r="AD85" s="391"/>
      <c r="AE85" s="68">
        <f t="shared" ref="AE85:AE96" si="77">IF(AD85&gt;0,AD85,IF(AB85&gt;0,AB85,0))</f>
        <v>0</v>
      </c>
      <c r="AF85" s="366" t="s">
        <v>1097</v>
      </c>
      <c r="AG85" s="358"/>
      <c r="AH85" s="359"/>
      <c r="AI85" s="360"/>
      <c r="AJ85" s="360"/>
      <c r="AK85" s="360" t="str">
        <f t="shared" ref="AK85:AK96" si="78">CONCATENATE(M85,T85,Z85)</f>
        <v/>
      </c>
      <c r="AL85" s="18"/>
      <c r="AM85" s="360" t="str">
        <f t="shared" ref="AM85:AM96" si="79">IF(N85="","3",IF(N85&lt;=2018,"2","1"))</f>
        <v>1</v>
      </c>
      <c r="AN85" s="360" t="str">
        <f t="shared" ref="AN85:AN96" si="80">IF(S85&gt;0,"1","2")</f>
        <v>1</v>
      </c>
      <c r="AO85" s="360"/>
      <c r="AP85" s="346" t="str">
        <f t="shared" ref="AP85:AP96" si="81">IF(Y85&gt;0,"1",IF(AE85&gt;0,"1","2"))</f>
        <v>2</v>
      </c>
      <c r="AQ85" s="360" t="str">
        <f t="shared" ref="AQ85:AQ96" si="82">CONCATENATE(AM85,".",AN85,".",AO85,".",AP85)</f>
        <v>1.1..2</v>
      </c>
      <c r="AR85" s="530"/>
      <c r="AS85" s="360"/>
      <c r="AT85" s="362"/>
      <c r="AU85" s="362"/>
      <c r="AV85" s="362"/>
      <c r="AW85" s="362"/>
      <c r="AX85" s="362"/>
      <c r="AY85" s="362"/>
      <c r="AZ85" s="362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</row>
    <row r="86" spans="1:68" ht="20.25" customHeight="1">
      <c r="A86" s="100">
        <v>14</v>
      </c>
      <c r="B86" s="100" t="s">
        <v>37</v>
      </c>
      <c r="C86" s="363">
        <v>45030</v>
      </c>
      <c r="D86" s="102" t="s">
        <v>242</v>
      </c>
      <c r="E86" s="100" t="str">
        <f t="shared" si="0"/>
        <v>Sama</v>
      </c>
      <c r="F86" s="63">
        <f t="shared" si="72"/>
        <v>77</v>
      </c>
      <c r="G86" s="63">
        <v>2</v>
      </c>
      <c r="H86" s="64" t="s">
        <v>37</v>
      </c>
      <c r="I86" s="64" t="s">
        <v>242</v>
      </c>
      <c r="J86" s="84">
        <v>19020.549055126812</v>
      </c>
      <c r="K86" s="533" t="s">
        <v>104</v>
      </c>
      <c r="L86" s="68">
        <f t="shared" si="73"/>
        <v>13630</v>
      </c>
      <c r="M86" s="63"/>
      <c r="N86" s="365" t="e">
        <f t="shared" si="74"/>
        <v>#VALUE!</v>
      </c>
      <c r="O86" s="382"/>
      <c r="P86" s="68"/>
      <c r="Q86" s="68"/>
      <c r="R86" s="68"/>
      <c r="S86" s="68">
        <f t="shared" si="75"/>
        <v>0</v>
      </c>
      <c r="T86" s="63"/>
      <c r="U86" s="531" t="s">
        <v>243</v>
      </c>
      <c r="V86" s="370">
        <v>13630</v>
      </c>
      <c r="W86" s="370">
        <v>0</v>
      </c>
      <c r="X86" s="370">
        <v>0</v>
      </c>
      <c r="Y86" s="68">
        <f t="shared" si="76"/>
        <v>13630</v>
      </c>
      <c r="Z86" s="345"/>
      <c r="AA86" s="347"/>
      <c r="AB86" s="345"/>
      <c r="AC86" s="345"/>
      <c r="AD86" s="345"/>
      <c r="AE86" s="68">
        <f t="shared" si="77"/>
        <v>0</v>
      </c>
      <c r="AF86" s="366">
        <v>2023</v>
      </c>
      <c r="AG86" s="358" t="s">
        <v>1090</v>
      </c>
      <c r="AH86" s="359"/>
      <c r="AI86" s="360"/>
      <c r="AJ86" s="360"/>
      <c r="AK86" s="360" t="str">
        <f t="shared" si="78"/>
        <v/>
      </c>
      <c r="AL86" s="18"/>
      <c r="AM86" s="360" t="e">
        <f t="shared" si="79"/>
        <v>#VALUE!</v>
      </c>
      <c r="AN86" s="360" t="str">
        <f t="shared" si="80"/>
        <v>2</v>
      </c>
      <c r="AO86" s="360"/>
      <c r="AP86" s="346" t="str">
        <f t="shared" si="81"/>
        <v>1</v>
      </c>
      <c r="AQ86" s="360" t="e">
        <f t="shared" si="82"/>
        <v>#VALUE!</v>
      </c>
      <c r="AR86" s="530"/>
      <c r="AS86" s="360"/>
      <c r="AT86" s="362"/>
      <c r="AU86" s="362"/>
      <c r="AV86" s="362"/>
      <c r="AW86" s="362"/>
      <c r="AX86" s="362"/>
      <c r="AY86" s="362"/>
      <c r="AZ86" s="362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</row>
    <row r="87" spans="1:68" ht="20.25" customHeight="1">
      <c r="A87" s="100">
        <v>14</v>
      </c>
      <c r="B87" s="100" t="s">
        <v>37</v>
      </c>
      <c r="C87" s="363">
        <v>44971</v>
      </c>
      <c r="D87" s="102" t="s">
        <v>244</v>
      </c>
      <c r="E87" s="100" t="str">
        <f t="shared" si="0"/>
        <v>Sama</v>
      </c>
      <c r="F87" s="63">
        <f t="shared" si="72"/>
        <v>78</v>
      </c>
      <c r="G87" s="63">
        <v>3</v>
      </c>
      <c r="H87" s="64" t="s">
        <v>37</v>
      </c>
      <c r="I87" s="62" t="s">
        <v>244</v>
      </c>
      <c r="J87" s="66">
        <v>2667.2948232347826</v>
      </c>
      <c r="K87" s="533" t="s">
        <v>661</v>
      </c>
      <c r="L87" s="68">
        <f t="shared" si="73"/>
        <v>0</v>
      </c>
      <c r="M87" s="63"/>
      <c r="N87" s="365" t="e">
        <f t="shared" si="74"/>
        <v>#VALUE!</v>
      </c>
      <c r="O87" s="382"/>
      <c r="P87" s="68"/>
      <c r="Q87" s="68"/>
      <c r="R87" s="68"/>
      <c r="S87" s="68">
        <f t="shared" si="75"/>
        <v>0</v>
      </c>
      <c r="T87" s="63"/>
      <c r="U87" s="347"/>
      <c r="V87" s="370"/>
      <c r="W87" s="370"/>
      <c r="X87" s="370"/>
      <c r="Y87" s="68">
        <f t="shared" si="76"/>
        <v>0</v>
      </c>
      <c r="Z87" s="345"/>
      <c r="AA87" s="347"/>
      <c r="AB87" s="345"/>
      <c r="AC87" s="345"/>
      <c r="AD87" s="345"/>
      <c r="AE87" s="68">
        <f t="shared" si="77"/>
        <v>0</v>
      </c>
      <c r="AF87" s="366" t="s">
        <v>1097</v>
      </c>
      <c r="AG87" s="358"/>
      <c r="AH87" s="359"/>
      <c r="AI87" s="360"/>
      <c r="AJ87" s="360"/>
      <c r="AK87" s="360" t="str">
        <f t="shared" si="78"/>
        <v/>
      </c>
      <c r="AL87" s="18"/>
      <c r="AM87" s="360" t="e">
        <f t="shared" si="79"/>
        <v>#VALUE!</v>
      </c>
      <c r="AN87" s="360" t="str">
        <f t="shared" si="80"/>
        <v>2</v>
      </c>
      <c r="AO87" s="360"/>
      <c r="AP87" s="346" t="str">
        <f t="shared" si="81"/>
        <v>2</v>
      </c>
      <c r="AQ87" s="360" t="e">
        <f t="shared" si="82"/>
        <v>#VALUE!</v>
      </c>
      <c r="AR87" s="530"/>
      <c r="AS87" s="360"/>
      <c r="AT87" s="362"/>
      <c r="AU87" s="362"/>
      <c r="AV87" s="362"/>
      <c r="AW87" s="362"/>
      <c r="AX87" s="362"/>
      <c r="AY87" s="362"/>
      <c r="AZ87" s="362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</row>
    <row r="88" spans="1:68" ht="20.25" customHeight="1">
      <c r="A88" s="100">
        <v>14</v>
      </c>
      <c r="B88" s="100" t="s">
        <v>37</v>
      </c>
      <c r="C88" s="363">
        <v>44940</v>
      </c>
      <c r="D88" s="102" t="s">
        <v>245</v>
      </c>
      <c r="E88" s="100" t="str">
        <f t="shared" si="0"/>
        <v>Sama</v>
      </c>
      <c r="F88" s="63">
        <f t="shared" si="72"/>
        <v>79</v>
      </c>
      <c r="G88" s="63">
        <v>4</v>
      </c>
      <c r="H88" s="64" t="s">
        <v>37</v>
      </c>
      <c r="I88" s="62" t="s">
        <v>245</v>
      </c>
      <c r="J88" s="66">
        <v>3220.4184385371937</v>
      </c>
      <c r="K88" s="533" t="s">
        <v>91</v>
      </c>
      <c r="L88" s="68">
        <f t="shared" si="73"/>
        <v>6302</v>
      </c>
      <c r="M88" s="63" t="s">
        <v>1076</v>
      </c>
      <c r="N88" s="365">
        <f t="shared" si="74"/>
        <v>2019</v>
      </c>
      <c r="O88" s="531" t="s">
        <v>246</v>
      </c>
      <c r="P88" s="370">
        <v>0</v>
      </c>
      <c r="Q88" s="370">
        <v>0</v>
      </c>
      <c r="R88" s="370">
        <v>6302</v>
      </c>
      <c r="S88" s="68">
        <f t="shared" si="75"/>
        <v>6302</v>
      </c>
      <c r="T88" s="63"/>
      <c r="U88" s="347"/>
      <c r="V88" s="370"/>
      <c r="W88" s="370"/>
      <c r="X88" s="370"/>
      <c r="Y88" s="68">
        <f t="shared" si="76"/>
        <v>0</v>
      </c>
      <c r="Z88" s="345"/>
      <c r="AA88" s="347"/>
      <c r="AB88" s="345"/>
      <c r="AC88" s="345"/>
      <c r="AD88" s="345"/>
      <c r="AE88" s="68">
        <f t="shared" si="77"/>
        <v>0</v>
      </c>
      <c r="AF88" s="364" t="s">
        <v>1097</v>
      </c>
      <c r="AG88" s="344"/>
      <c r="AH88" s="84"/>
      <c r="AI88" s="63"/>
      <c r="AJ88" s="63"/>
      <c r="AK88" s="63" t="str">
        <f t="shared" si="78"/>
        <v>V</v>
      </c>
      <c r="AL88" s="47"/>
      <c r="AM88" s="63" t="str">
        <f t="shared" si="79"/>
        <v>1</v>
      </c>
      <c r="AN88" s="63" t="str">
        <f t="shared" si="80"/>
        <v>1</v>
      </c>
      <c r="AO88" s="63"/>
      <c r="AP88" s="346" t="str">
        <f t="shared" si="81"/>
        <v>2</v>
      </c>
      <c r="AQ88" s="63" t="str">
        <f t="shared" si="82"/>
        <v>1.1..2</v>
      </c>
      <c r="AR88" s="534"/>
      <c r="AS88" s="347"/>
      <c r="AT88" s="95"/>
      <c r="AU88" s="95"/>
      <c r="AV88" s="371" t="e">
        <f t="shared" ref="AV88:AV90" si="83">AU88/AT88</f>
        <v>#DIV/0!</v>
      </c>
      <c r="AW88" s="95"/>
      <c r="AX88" s="371" t="e">
        <f t="shared" ref="AX88:AX90" si="84">AW88/AT88</f>
        <v>#DIV/0!</v>
      </c>
      <c r="AY88" s="95"/>
      <c r="AZ88" s="371" t="e">
        <f t="shared" ref="AZ88:AZ90" si="85">AY88/AT88</f>
        <v>#DIV/0!</v>
      </c>
      <c r="BA88" s="47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</row>
    <row r="89" spans="1:68" ht="20.25" customHeight="1">
      <c r="A89" s="100">
        <v>14</v>
      </c>
      <c r="B89" s="100" t="s">
        <v>37</v>
      </c>
      <c r="C89" s="369">
        <v>45213</v>
      </c>
      <c r="D89" s="102" t="s">
        <v>247</v>
      </c>
      <c r="E89" s="100" t="str">
        <f t="shared" si="0"/>
        <v>Sama</v>
      </c>
      <c r="F89" s="63">
        <f t="shared" si="72"/>
        <v>80</v>
      </c>
      <c r="G89" s="63">
        <v>5</v>
      </c>
      <c r="H89" s="64" t="s">
        <v>37</v>
      </c>
      <c r="I89" s="62" t="s">
        <v>247</v>
      </c>
      <c r="J89" s="66">
        <v>3436.2346712048179</v>
      </c>
      <c r="K89" s="533" t="s">
        <v>91</v>
      </c>
      <c r="L89" s="68">
        <f t="shared" si="73"/>
        <v>3709</v>
      </c>
      <c r="M89" s="63" t="s">
        <v>1076</v>
      </c>
      <c r="N89" s="365">
        <f t="shared" si="74"/>
        <v>2020</v>
      </c>
      <c r="O89" s="531" t="s">
        <v>248</v>
      </c>
      <c r="P89" s="370">
        <v>0</v>
      </c>
      <c r="Q89" s="370">
        <v>0</v>
      </c>
      <c r="R89" s="370">
        <v>3709</v>
      </c>
      <c r="S89" s="68">
        <f t="shared" si="75"/>
        <v>3709</v>
      </c>
      <c r="T89" s="63"/>
      <c r="U89" s="347"/>
      <c r="V89" s="370"/>
      <c r="W89" s="370"/>
      <c r="X89" s="370"/>
      <c r="Y89" s="68">
        <f t="shared" si="76"/>
        <v>0</v>
      </c>
      <c r="Z89" s="345"/>
      <c r="AA89" s="347"/>
      <c r="AB89" s="345"/>
      <c r="AC89" s="345"/>
      <c r="AD89" s="345"/>
      <c r="AE89" s="68">
        <f t="shared" si="77"/>
        <v>0</v>
      </c>
      <c r="AF89" s="366">
        <v>2020</v>
      </c>
      <c r="AG89" s="358"/>
      <c r="AH89" s="359"/>
      <c r="AI89" s="360"/>
      <c r="AJ89" s="360"/>
      <c r="AK89" s="360" t="str">
        <f t="shared" si="78"/>
        <v>V</v>
      </c>
      <c r="AL89" s="18"/>
      <c r="AM89" s="360" t="str">
        <f t="shared" si="79"/>
        <v>1</v>
      </c>
      <c r="AN89" s="360" t="str">
        <f t="shared" si="80"/>
        <v>1</v>
      </c>
      <c r="AO89" s="360"/>
      <c r="AP89" s="346" t="str">
        <f t="shared" si="81"/>
        <v>2</v>
      </c>
      <c r="AQ89" s="360" t="str">
        <f t="shared" si="82"/>
        <v>1.1..2</v>
      </c>
      <c r="AR89" s="530"/>
      <c r="AS89" s="362" t="s">
        <v>248</v>
      </c>
      <c r="AT89" s="367">
        <v>3436</v>
      </c>
      <c r="AU89" s="367">
        <v>3707</v>
      </c>
      <c r="AV89" s="368">
        <f t="shared" si="83"/>
        <v>1.0788707799767172</v>
      </c>
      <c r="AW89" s="367">
        <v>3096</v>
      </c>
      <c r="AX89" s="368">
        <f t="shared" si="84"/>
        <v>0.9010477299185099</v>
      </c>
      <c r="AY89" s="362">
        <v>340</v>
      </c>
      <c r="AZ89" s="368">
        <f t="shared" si="85"/>
        <v>9.8952270081490101E-2</v>
      </c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</row>
    <row r="90" spans="1:68" ht="20.25" customHeight="1">
      <c r="A90" s="100">
        <v>14</v>
      </c>
      <c r="B90" s="100" t="s">
        <v>37</v>
      </c>
      <c r="C90" s="100" t="s">
        <v>1971</v>
      </c>
      <c r="D90" s="102" t="s">
        <v>249</v>
      </c>
      <c r="E90" s="100" t="str">
        <f t="shared" si="0"/>
        <v>Sama</v>
      </c>
      <c r="F90" s="63">
        <f t="shared" si="72"/>
        <v>81</v>
      </c>
      <c r="G90" s="63">
        <v>6</v>
      </c>
      <c r="H90" s="64" t="s">
        <v>37</v>
      </c>
      <c r="I90" s="62" t="s">
        <v>249</v>
      </c>
      <c r="J90" s="66">
        <v>217.36462130400599</v>
      </c>
      <c r="K90" s="533" t="s">
        <v>91</v>
      </c>
      <c r="L90" s="68">
        <f t="shared" si="73"/>
        <v>155</v>
      </c>
      <c r="M90" s="63" t="s">
        <v>1076</v>
      </c>
      <c r="N90" s="365">
        <f t="shared" si="74"/>
        <v>2019</v>
      </c>
      <c r="O90" s="531" t="s">
        <v>250</v>
      </c>
      <c r="P90" s="370"/>
      <c r="Q90" s="370"/>
      <c r="R90" s="370">
        <v>155</v>
      </c>
      <c r="S90" s="68">
        <f t="shared" si="75"/>
        <v>155</v>
      </c>
      <c r="T90" s="63"/>
      <c r="U90" s="347"/>
      <c r="V90" s="370"/>
      <c r="W90" s="370"/>
      <c r="X90" s="370"/>
      <c r="Y90" s="68">
        <f t="shared" si="76"/>
        <v>0</v>
      </c>
      <c r="Z90" s="345"/>
      <c r="AA90" s="347"/>
      <c r="AB90" s="345"/>
      <c r="AC90" s="345"/>
      <c r="AD90" s="345"/>
      <c r="AE90" s="68">
        <f t="shared" si="77"/>
        <v>0</v>
      </c>
      <c r="AF90" s="366">
        <v>2020</v>
      </c>
      <c r="AG90" s="358"/>
      <c r="AH90" s="359"/>
      <c r="AI90" s="360"/>
      <c r="AJ90" s="360"/>
      <c r="AK90" s="360" t="str">
        <f t="shared" si="78"/>
        <v>V</v>
      </c>
      <c r="AL90" s="18"/>
      <c r="AM90" s="360" t="str">
        <f t="shared" si="79"/>
        <v>1</v>
      </c>
      <c r="AN90" s="360" t="str">
        <f t="shared" si="80"/>
        <v>1</v>
      </c>
      <c r="AO90" s="360"/>
      <c r="AP90" s="346" t="str">
        <f t="shared" si="81"/>
        <v>2</v>
      </c>
      <c r="AQ90" s="360" t="str">
        <f t="shared" si="82"/>
        <v>1.1..2</v>
      </c>
      <c r="AR90" s="530"/>
      <c r="AS90" s="362" t="s">
        <v>1972</v>
      </c>
      <c r="AT90" s="362">
        <v>217</v>
      </c>
      <c r="AU90" s="362">
        <v>211</v>
      </c>
      <c r="AV90" s="368">
        <f t="shared" si="83"/>
        <v>0.97235023041474655</v>
      </c>
      <c r="AW90" s="362">
        <v>146</v>
      </c>
      <c r="AX90" s="368">
        <f t="shared" si="84"/>
        <v>0.67281105990783407</v>
      </c>
      <c r="AY90" s="362">
        <v>71</v>
      </c>
      <c r="AZ90" s="368">
        <f t="shared" si="85"/>
        <v>0.32718894009216593</v>
      </c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</row>
    <row r="91" spans="1:68" ht="20.25" customHeight="1">
      <c r="A91" s="100">
        <v>14</v>
      </c>
      <c r="B91" s="100" t="s">
        <v>37</v>
      </c>
      <c r="C91" s="100" t="s">
        <v>1973</v>
      </c>
      <c r="D91" s="102" t="s">
        <v>251</v>
      </c>
      <c r="E91" s="100" t="str">
        <f t="shared" si="0"/>
        <v>Sama</v>
      </c>
      <c r="F91" s="63">
        <f t="shared" si="72"/>
        <v>82</v>
      </c>
      <c r="G91" s="63">
        <v>7</v>
      </c>
      <c r="H91" s="64" t="s">
        <v>37</v>
      </c>
      <c r="I91" s="62" t="s">
        <v>251</v>
      </c>
      <c r="J91" s="66">
        <v>3.2713721111999998</v>
      </c>
      <c r="K91" s="533" t="s">
        <v>123</v>
      </c>
      <c r="L91" s="68">
        <f t="shared" si="73"/>
        <v>0</v>
      </c>
      <c r="M91" s="63"/>
      <c r="N91" s="365">
        <f t="shared" si="74"/>
        <v>2020</v>
      </c>
      <c r="O91" s="531" t="s">
        <v>252</v>
      </c>
      <c r="P91" s="370"/>
      <c r="Q91" s="370"/>
      <c r="R91" s="370"/>
      <c r="S91" s="68">
        <f t="shared" si="75"/>
        <v>0</v>
      </c>
      <c r="T91" s="63"/>
      <c r="U91" s="347"/>
      <c r="V91" s="370"/>
      <c r="W91" s="370"/>
      <c r="X91" s="370"/>
      <c r="Y91" s="68">
        <f t="shared" si="76"/>
        <v>0</v>
      </c>
      <c r="Z91" s="345"/>
      <c r="AA91" s="347"/>
      <c r="AB91" s="345"/>
      <c r="AC91" s="345"/>
      <c r="AD91" s="345"/>
      <c r="AE91" s="68">
        <f t="shared" si="77"/>
        <v>0</v>
      </c>
      <c r="AF91" s="366" t="s">
        <v>1097</v>
      </c>
      <c r="AG91" s="358"/>
      <c r="AH91" s="359"/>
      <c r="AI91" s="360"/>
      <c r="AJ91" s="360"/>
      <c r="AK91" s="360" t="str">
        <f t="shared" si="78"/>
        <v/>
      </c>
      <c r="AL91" s="18"/>
      <c r="AM91" s="360" t="str">
        <f t="shared" si="79"/>
        <v>1</v>
      </c>
      <c r="AN91" s="360" t="str">
        <f t="shared" si="80"/>
        <v>2</v>
      </c>
      <c r="AO91" s="360"/>
      <c r="AP91" s="346" t="str">
        <f t="shared" si="81"/>
        <v>2</v>
      </c>
      <c r="AQ91" s="360" t="str">
        <f t="shared" si="82"/>
        <v>1.2..2</v>
      </c>
      <c r="AR91" s="530"/>
      <c r="AS91" s="360"/>
      <c r="AT91" s="362"/>
      <c r="AU91" s="362"/>
      <c r="AV91" s="362"/>
      <c r="AW91" s="362"/>
      <c r="AX91" s="362"/>
      <c r="AY91" s="362"/>
      <c r="AZ91" s="362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</row>
    <row r="92" spans="1:68" ht="20.25" customHeight="1">
      <c r="A92" s="100">
        <v>14</v>
      </c>
      <c r="B92" s="100" t="s">
        <v>37</v>
      </c>
      <c r="C92" s="363">
        <v>45183</v>
      </c>
      <c r="D92" s="102" t="s">
        <v>253</v>
      </c>
      <c r="E92" s="100" t="str">
        <f t="shared" si="0"/>
        <v>Sama</v>
      </c>
      <c r="F92" s="63">
        <f t="shared" si="72"/>
        <v>83</v>
      </c>
      <c r="G92" s="63">
        <v>8</v>
      </c>
      <c r="H92" s="64" t="s">
        <v>37</v>
      </c>
      <c r="I92" s="62" t="s">
        <v>253</v>
      </c>
      <c r="J92" s="66">
        <v>6212.5789780315899</v>
      </c>
      <c r="K92" s="533" t="s">
        <v>661</v>
      </c>
      <c r="L92" s="68">
        <f t="shared" si="73"/>
        <v>0</v>
      </c>
      <c r="M92" s="63"/>
      <c r="N92" s="365" t="e">
        <f t="shared" si="74"/>
        <v>#VALUE!</v>
      </c>
      <c r="O92" s="347"/>
      <c r="P92" s="370"/>
      <c r="Q92" s="370"/>
      <c r="R92" s="370"/>
      <c r="S92" s="68">
        <f t="shared" si="75"/>
        <v>0</v>
      </c>
      <c r="T92" s="63"/>
      <c r="U92" s="347"/>
      <c r="V92" s="370"/>
      <c r="W92" s="370"/>
      <c r="X92" s="370"/>
      <c r="Y92" s="68">
        <f t="shared" si="76"/>
        <v>0</v>
      </c>
      <c r="Z92" s="345"/>
      <c r="AA92" s="347"/>
      <c r="AB92" s="345"/>
      <c r="AC92" s="345"/>
      <c r="AD92" s="345"/>
      <c r="AE92" s="68">
        <f t="shared" si="77"/>
        <v>0</v>
      </c>
      <c r="AF92" s="366">
        <v>2023</v>
      </c>
      <c r="AG92" s="358" t="s">
        <v>1090</v>
      </c>
      <c r="AH92" s="359"/>
      <c r="AI92" s="360"/>
      <c r="AJ92" s="360"/>
      <c r="AK92" s="360" t="str">
        <f t="shared" si="78"/>
        <v/>
      </c>
      <c r="AL92" s="18"/>
      <c r="AM92" s="360" t="e">
        <f t="shared" si="79"/>
        <v>#VALUE!</v>
      </c>
      <c r="AN92" s="360" t="str">
        <f t="shared" si="80"/>
        <v>2</v>
      </c>
      <c r="AO92" s="360"/>
      <c r="AP92" s="346" t="str">
        <f t="shared" si="81"/>
        <v>2</v>
      </c>
      <c r="AQ92" s="360" t="e">
        <f t="shared" si="82"/>
        <v>#VALUE!</v>
      </c>
      <c r="AR92" s="530"/>
      <c r="AS92" s="360"/>
      <c r="AT92" s="362"/>
      <c r="AU92" s="362"/>
      <c r="AV92" s="362"/>
      <c r="AW92" s="362"/>
      <c r="AX92" s="362"/>
      <c r="AY92" s="362"/>
      <c r="AZ92" s="362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</row>
    <row r="93" spans="1:68" ht="20.25" customHeight="1">
      <c r="A93" s="100">
        <v>14</v>
      </c>
      <c r="B93" s="100" t="s">
        <v>37</v>
      </c>
      <c r="C93" s="363">
        <v>45060</v>
      </c>
      <c r="D93" s="102" t="s">
        <v>255</v>
      </c>
      <c r="E93" s="100" t="str">
        <f t="shared" si="0"/>
        <v>Sama</v>
      </c>
      <c r="F93" s="63">
        <f t="shared" si="72"/>
        <v>84</v>
      </c>
      <c r="G93" s="63">
        <v>9</v>
      </c>
      <c r="H93" s="64" t="s">
        <v>37</v>
      </c>
      <c r="I93" s="62" t="s">
        <v>255</v>
      </c>
      <c r="J93" s="66">
        <v>6718.2441787090147</v>
      </c>
      <c r="K93" s="533" t="s">
        <v>91</v>
      </c>
      <c r="L93" s="68">
        <f t="shared" si="73"/>
        <v>5866</v>
      </c>
      <c r="M93" s="63" t="s">
        <v>1076</v>
      </c>
      <c r="N93" s="365">
        <f t="shared" si="74"/>
        <v>2019</v>
      </c>
      <c r="O93" s="531" t="s">
        <v>256</v>
      </c>
      <c r="P93" s="370"/>
      <c r="Q93" s="370">
        <v>0</v>
      </c>
      <c r="R93" s="370">
        <v>5866</v>
      </c>
      <c r="S93" s="68">
        <f t="shared" si="75"/>
        <v>5866</v>
      </c>
      <c r="T93" s="63"/>
      <c r="U93" s="347"/>
      <c r="V93" s="370"/>
      <c r="W93" s="370"/>
      <c r="X93" s="370"/>
      <c r="Y93" s="68">
        <f t="shared" si="76"/>
        <v>0</v>
      </c>
      <c r="Z93" s="345"/>
      <c r="AA93" s="347"/>
      <c r="AB93" s="345"/>
      <c r="AC93" s="345"/>
      <c r="AD93" s="345"/>
      <c r="AE93" s="68">
        <f t="shared" si="77"/>
        <v>0</v>
      </c>
      <c r="AF93" s="366">
        <v>2020</v>
      </c>
      <c r="AG93" s="358"/>
      <c r="AH93" s="359"/>
      <c r="AI93" s="360"/>
      <c r="AJ93" s="360"/>
      <c r="AK93" s="360" t="str">
        <f t="shared" si="78"/>
        <v>V</v>
      </c>
      <c r="AL93" s="18"/>
      <c r="AM93" s="360" t="str">
        <f t="shared" si="79"/>
        <v>1</v>
      </c>
      <c r="AN93" s="360" t="str">
        <f t="shared" si="80"/>
        <v>1</v>
      </c>
      <c r="AO93" s="360"/>
      <c r="AP93" s="346" t="str">
        <f t="shared" si="81"/>
        <v>2</v>
      </c>
      <c r="AQ93" s="360" t="str">
        <f t="shared" si="82"/>
        <v>1.1..2</v>
      </c>
      <c r="AR93" s="530"/>
      <c r="AS93" s="362" t="s">
        <v>256</v>
      </c>
      <c r="AT93" s="367">
        <v>6718</v>
      </c>
      <c r="AU93" s="367">
        <v>7798</v>
      </c>
      <c r="AV93" s="368">
        <f>AU93/AT93</f>
        <v>1.1607621315867818</v>
      </c>
      <c r="AW93" s="367">
        <v>6371</v>
      </c>
      <c r="AX93" s="368">
        <f>AW93/AT93</f>
        <v>0.94834772253646915</v>
      </c>
      <c r="AY93" s="362">
        <v>348</v>
      </c>
      <c r="AZ93" s="368">
        <f>AY93/AT93</f>
        <v>5.1801131289074126E-2</v>
      </c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</row>
    <row r="94" spans="1:68" ht="20.25" customHeight="1">
      <c r="A94" s="100">
        <v>14</v>
      </c>
      <c r="B94" s="100" t="s">
        <v>37</v>
      </c>
      <c r="C94" s="363">
        <v>45121</v>
      </c>
      <c r="D94" s="102" t="s">
        <v>257</v>
      </c>
      <c r="E94" s="100" t="str">
        <f t="shared" si="0"/>
        <v>Sama</v>
      </c>
      <c r="F94" s="63">
        <f t="shared" si="72"/>
        <v>85</v>
      </c>
      <c r="G94" s="63">
        <v>10</v>
      </c>
      <c r="H94" s="64" t="s">
        <v>37</v>
      </c>
      <c r="I94" s="62" t="s">
        <v>257</v>
      </c>
      <c r="J94" s="66">
        <v>12185.639641195788</v>
      </c>
      <c r="K94" s="533" t="s">
        <v>104</v>
      </c>
      <c r="L94" s="68">
        <f t="shared" si="73"/>
        <v>0</v>
      </c>
      <c r="M94" s="63"/>
      <c r="N94" s="365" t="e">
        <f t="shared" si="74"/>
        <v>#VALUE!</v>
      </c>
      <c r="O94" s="382"/>
      <c r="P94" s="68"/>
      <c r="Q94" s="68"/>
      <c r="R94" s="68"/>
      <c r="S94" s="68">
        <f t="shared" si="75"/>
        <v>0</v>
      </c>
      <c r="T94" s="63"/>
      <c r="U94" s="531" t="s">
        <v>258</v>
      </c>
      <c r="V94" s="370">
        <v>0</v>
      </c>
      <c r="W94" s="370">
        <v>0</v>
      </c>
      <c r="X94" s="370">
        <v>0</v>
      </c>
      <c r="Y94" s="68">
        <f t="shared" si="76"/>
        <v>0</v>
      </c>
      <c r="Z94" s="345"/>
      <c r="AA94" s="347"/>
      <c r="AB94" s="345"/>
      <c r="AC94" s="345"/>
      <c r="AD94" s="345"/>
      <c r="AE94" s="68">
        <f t="shared" si="77"/>
        <v>0</v>
      </c>
      <c r="AF94" s="366">
        <v>2023</v>
      </c>
      <c r="AG94" s="358" t="s">
        <v>1090</v>
      </c>
      <c r="AH94" s="359"/>
      <c r="AI94" s="360"/>
      <c r="AJ94" s="360"/>
      <c r="AK94" s="360" t="str">
        <f t="shared" si="78"/>
        <v/>
      </c>
      <c r="AL94" s="18"/>
      <c r="AM94" s="360" t="e">
        <f t="shared" si="79"/>
        <v>#VALUE!</v>
      </c>
      <c r="AN94" s="360" t="str">
        <f t="shared" si="80"/>
        <v>2</v>
      </c>
      <c r="AO94" s="360"/>
      <c r="AP94" s="346" t="str">
        <f t="shared" si="81"/>
        <v>2</v>
      </c>
      <c r="AQ94" s="360" t="e">
        <f t="shared" si="82"/>
        <v>#VALUE!</v>
      </c>
      <c r="AR94" s="530"/>
      <c r="AS94" s="360"/>
      <c r="AT94" s="362"/>
      <c r="AU94" s="362"/>
      <c r="AV94" s="362"/>
      <c r="AW94" s="362"/>
      <c r="AX94" s="362"/>
      <c r="AY94" s="362"/>
      <c r="AZ94" s="362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</row>
    <row r="95" spans="1:68" ht="20.25" customHeight="1">
      <c r="A95" s="100">
        <v>14</v>
      </c>
      <c r="B95" s="100" t="s">
        <v>37</v>
      </c>
      <c r="C95" s="363">
        <v>45091</v>
      </c>
      <c r="D95" s="102" t="s">
        <v>259</v>
      </c>
      <c r="E95" s="100" t="str">
        <f t="shared" si="0"/>
        <v>Sama</v>
      </c>
      <c r="F95" s="63">
        <f t="shared" si="72"/>
        <v>86</v>
      </c>
      <c r="G95" s="63">
        <v>11</v>
      </c>
      <c r="H95" s="64" t="s">
        <v>37</v>
      </c>
      <c r="I95" s="62" t="s">
        <v>259</v>
      </c>
      <c r="J95" s="66">
        <v>1683.6422707623726</v>
      </c>
      <c r="K95" s="533" t="s">
        <v>91</v>
      </c>
      <c r="L95" s="68">
        <f t="shared" si="73"/>
        <v>1945</v>
      </c>
      <c r="M95" s="63" t="s">
        <v>1076</v>
      </c>
      <c r="N95" s="365">
        <f t="shared" si="74"/>
        <v>2020</v>
      </c>
      <c r="O95" s="531" t="s">
        <v>260</v>
      </c>
      <c r="P95" s="370">
        <v>0</v>
      </c>
      <c r="Q95" s="370">
        <v>0</v>
      </c>
      <c r="R95" s="370">
        <v>1945</v>
      </c>
      <c r="S95" s="68">
        <f t="shared" si="75"/>
        <v>1945</v>
      </c>
      <c r="T95" s="63"/>
      <c r="U95" s="531" t="s">
        <v>234</v>
      </c>
      <c r="V95" s="370">
        <v>0</v>
      </c>
      <c r="W95" s="370">
        <v>0</v>
      </c>
      <c r="X95" s="370">
        <v>0</v>
      </c>
      <c r="Y95" s="68">
        <f t="shared" si="76"/>
        <v>0</v>
      </c>
      <c r="Z95" s="345"/>
      <c r="AA95" s="347"/>
      <c r="AB95" s="345"/>
      <c r="AC95" s="345"/>
      <c r="AD95" s="345"/>
      <c r="AE95" s="68">
        <f t="shared" si="77"/>
        <v>0</v>
      </c>
      <c r="AF95" s="364" t="s">
        <v>1097</v>
      </c>
      <c r="AG95" s="344"/>
      <c r="AH95" s="84"/>
      <c r="AI95" s="63"/>
      <c r="AJ95" s="63"/>
      <c r="AK95" s="63" t="str">
        <f t="shared" si="78"/>
        <v>V</v>
      </c>
      <c r="AL95" s="47"/>
      <c r="AM95" s="63" t="str">
        <f t="shared" si="79"/>
        <v>1</v>
      </c>
      <c r="AN95" s="63" t="str">
        <f t="shared" si="80"/>
        <v>1</v>
      </c>
      <c r="AO95" s="63"/>
      <c r="AP95" s="346" t="str">
        <f t="shared" si="81"/>
        <v>2</v>
      </c>
      <c r="AQ95" s="63" t="str">
        <f t="shared" si="82"/>
        <v>1.1..2</v>
      </c>
      <c r="AR95" s="534"/>
      <c r="AS95" s="538" t="str">
        <f>O95</f>
        <v>Perda No. 1 tahun 2020</v>
      </c>
      <c r="AT95" s="95">
        <f>J95</f>
        <v>1683.6422707623726</v>
      </c>
      <c r="AU95" s="95">
        <f>S95</f>
        <v>1945</v>
      </c>
      <c r="AV95" s="371">
        <f t="shared" ref="AV95:AV96" si="86">AU95/AT95</f>
        <v>1.1552335277964254</v>
      </c>
      <c r="AW95" s="95">
        <v>1563.6647809999999</v>
      </c>
      <c r="AX95" s="371">
        <f t="shared" ref="AX95:AX96" si="87">AW95/AT95</f>
        <v>0.92873932197720033</v>
      </c>
      <c r="AY95" s="95">
        <f>AT95-AW95</f>
        <v>119.97748976237267</v>
      </c>
      <c r="AZ95" s="371">
        <f t="shared" ref="AZ95:AZ96" si="88">AY95/AT95</f>
        <v>7.1260678022799631E-2</v>
      </c>
      <c r="BA95" s="47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</row>
    <row r="96" spans="1:68" ht="20.25" customHeight="1">
      <c r="A96" s="100">
        <v>14</v>
      </c>
      <c r="B96" s="100" t="s">
        <v>37</v>
      </c>
      <c r="C96" s="363">
        <v>45152</v>
      </c>
      <c r="D96" s="102" t="s">
        <v>261</v>
      </c>
      <c r="E96" s="100" t="str">
        <f t="shared" si="0"/>
        <v>Sama</v>
      </c>
      <c r="F96" s="63">
        <f t="shared" si="72"/>
        <v>87</v>
      </c>
      <c r="G96" s="63">
        <v>12</v>
      </c>
      <c r="H96" s="64" t="s">
        <v>37</v>
      </c>
      <c r="I96" s="62" t="s">
        <v>261</v>
      </c>
      <c r="J96" s="66">
        <v>4331.7072122638456</v>
      </c>
      <c r="K96" s="533" t="s">
        <v>91</v>
      </c>
      <c r="L96" s="68">
        <f t="shared" si="73"/>
        <v>4423</v>
      </c>
      <c r="M96" s="63" t="s">
        <v>1076</v>
      </c>
      <c r="N96" s="365">
        <f t="shared" si="74"/>
        <v>2020</v>
      </c>
      <c r="O96" s="531" t="s">
        <v>262</v>
      </c>
      <c r="P96" s="370">
        <v>0</v>
      </c>
      <c r="Q96" s="370">
        <v>0</v>
      </c>
      <c r="R96" s="370">
        <v>4423</v>
      </c>
      <c r="S96" s="68">
        <f t="shared" si="75"/>
        <v>4423</v>
      </c>
      <c r="T96" s="63"/>
      <c r="U96" s="531" t="s">
        <v>1225</v>
      </c>
      <c r="V96" s="370">
        <v>0</v>
      </c>
      <c r="W96" s="370">
        <v>0</v>
      </c>
      <c r="X96" s="370">
        <v>0</v>
      </c>
      <c r="Y96" s="68">
        <f t="shared" si="76"/>
        <v>0</v>
      </c>
      <c r="Z96" s="345"/>
      <c r="AA96" s="347"/>
      <c r="AB96" s="345"/>
      <c r="AC96" s="345"/>
      <c r="AD96" s="345"/>
      <c r="AE96" s="68">
        <f t="shared" si="77"/>
        <v>0</v>
      </c>
      <c r="AF96" s="366">
        <v>2020</v>
      </c>
      <c r="AG96" s="358"/>
      <c r="AH96" s="359"/>
      <c r="AI96" s="360"/>
      <c r="AJ96" s="360"/>
      <c r="AK96" s="360" t="str">
        <f t="shared" si="78"/>
        <v>V</v>
      </c>
      <c r="AL96" s="18"/>
      <c r="AM96" s="360" t="str">
        <f t="shared" si="79"/>
        <v>1</v>
      </c>
      <c r="AN96" s="360" t="str">
        <f t="shared" si="80"/>
        <v>1</v>
      </c>
      <c r="AO96" s="360"/>
      <c r="AP96" s="346" t="str">
        <f t="shared" si="81"/>
        <v>2</v>
      </c>
      <c r="AQ96" s="360" t="str">
        <f t="shared" si="82"/>
        <v>1.1..2</v>
      </c>
      <c r="AR96" s="530"/>
      <c r="AS96" s="362" t="s">
        <v>262</v>
      </c>
      <c r="AT96" s="367">
        <v>4332</v>
      </c>
      <c r="AU96" s="367">
        <v>4415</v>
      </c>
      <c r="AV96" s="368">
        <f t="shared" si="86"/>
        <v>1.0191597414589104</v>
      </c>
      <c r="AW96" s="367">
        <v>3939</v>
      </c>
      <c r="AX96" s="368">
        <f t="shared" si="87"/>
        <v>0.90927977839335183</v>
      </c>
      <c r="AY96" s="362">
        <v>392</v>
      </c>
      <c r="AZ96" s="368">
        <f t="shared" si="88"/>
        <v>9.0489381348107106E-2</v>
      </c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</row>
    <row r="97" spans="1:68" ht="20.25" customHeight="1">
      <c r="A97" s="100">
        <v>21</v>
      </c>
      <c r="B97" s="100" t="s">
        <v>43</v>
      </c>
      <c r="C97" s="100">
        <v>21</v>
      </c>
      <c r="D97" s="102" t="s">
        <v>1974</v>
      </c>
      <c r="E97" s="100" t="str">
        <f t="shared" si="0"/>
        <v>Sama</v>
      </c>
      <c r="F97" s="63"/>
      <c r="G97" s="341"/>
      <c r="H97" s="379"/>
      <c r="I97" s="379" t="s">
        <v>1974</v>
      </c>
      <c r="J97" s="380">
        <f>SUM(J98:J104)</f>
        <v>1394.4868212911831</v>
      </c>
      <c r="K97" s="353">
        <f>COUNTIF(K98:K104,"D") + COUNTIF(K98:K104,"DS")</f>
        <v>5</v>
      </c>
      <c r="L97" s="383">
        <f>SUBTOTAL(9,L98:L104)</f>
        <v>3496.33</v>
      </c>
      <c r="M97" s="342"/>
      <c r="N97" s="355"/>
      <c r="O97" s="356"/>
      <c r="P97" s="383">
        <f t="shared" ref="P97:S97" si="89">SUBTOTAL(9,P98:P104)</f>
        <v>1470</v>
      </c>
      <c r="Q97" s="383">
        <f t="shared" si="89"/>
        <v>0</v>
      </c>
      <c r="R97" s="383">
        <f t="shared" si="89"/>
        <v>3496.33</v>
      </c>
      <c r="S97" s="383">
        <f t="shared" si="89"/>
        <v>3496.33</v>
      </c>
      <c r="T97" s="342"/>
      <c r="U97" s="351"/>
      <c r="V97" s="384">
        <v>0</v>
      </c>
      <c r="W97" s="384">
        <v>0</v>
      </c>
      <c r="X97" s="384">
        <v>0</v>
      </c>
      <c r="Y97" s="383">
        <f>SUBTOTAL(9,Y98:Y104)</f>
        <v>0</v>
      </c>
      <c r="Z97" s="337"/>
      <c r="AA97" s="351"/>
      <c r="AB97" s="337">
        <v>0</v>
      </c>
      <c r="AC97" s="337">
        <v>0</v>
      </c>
      <c r="AD97" s="337">
        <v>0</v>
      </c>
      <c r="AE97" s="383">
        <f>SUBTOTAL(9,AE98:AE104)</f>
        <v>0</v>
      </c>
      <c r="AF97" s="357" t="s">
        <v>1138</v>
      </c>
      <c r="AG97" s="358"/>
      <c r="AH97" s="359"/>
      <c r="AI97" s="360"/>
      <c r="AJ97" s="360"/>
      <c r="AK97" s="361">
        <f>COUNTIF(AK98:AK104,"V") + COUNTIF(AK98:AK104,"VV") + COUNTIF(AK98:AK104,"VVV")</f>
        <v>3</v>
      </c>
      <c r="AL97" s="18"/>
      <c r="AM97" s="360"/>
      <c r="AN97" s="360"/>
      <c r="AO97" s="360"/>
      <c r="AP97" s="346"/>
      <c r="AQ97" s="360"/>
      <c r="AR97" s="530"/>
      <c r="AS97" s="360"/>
      <c r="AT97" s="362"/>
      <c r="AU97" s="362"/>
      <c r="AV97" s="362"/>
      <c r="AW97" s="362"/>
      <c r="AX97" s="362"/>
      <c r="AY97" s="362"/>
      <c r="AZ97" s="362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</row>
    <row r="98" spans="1:68" ht="20.25" customHeight="1">
      <c r="A98" s="100">
        <v>21</v>
      </c>
      <c r="B98" s="100" t="s">
        <v>43</v>
      </c>
      <c r="C98" s="363">
        <v>44947</v>
      </c>
      <c r="D98" s="102" t="s">
        <v>263</v>
      </c>
      <c r="E98" s="100" t="str">
        <f t="shared" si="0"/>
        <v>Sama</v>
      </c>
      <c r="F98" s="63">
        <f t="shared" ref="F98:F104" si="90">SUBTOTAL(3,$G$7:G98)</f>
        <v>88</v>
      </c>
      <c r="G98" s="63">
        <v>1</v>
      </c>
      <c r="H98" s="62" t="s">
        <v>43</v>
      </c>
      <c r="I98" s="62" t="s">
        <v>263</v>
      </c>
      <c r="J98" s="66">
        <v>154.31830745484098</v>
      </c>
      <c r="K98" s="533" t="s">
        <v>91</v>
      </c>
      <c r="L98" s="68">
        <f t="shared" ref="L98:L104" si="91">IF(S98&gt;0,S98,IF(Y98&gt;0,Y98,IF(AE98&gt;0,AE98,0)))</f>
        <v>67.33</v>
      </c>
      <c r="M98" s="63" t="s">
        <v>1076</v>
      </c>
      <c r="N98" s="392">
        <f t="shared" ref="N98:N104" si="92">VALUE(RIGHT(O98,4))</f>
        <v>2020</v>
      </c>
      <c r="O98" s="531" t="s">
        <v>262</v>
      </c>
      <c r="P98" s="68">
        <v>0</v>
      </c>
      <c r="Q98" s="68">
        <v>0</v>
      </c>
      <c r="R98" s="68">
        <v>67.33</v>
      </c>
      <c r="S98" s="68">
        <f t="shared" ref="S98:S104" si="93">IF(R98&gt;0,R98,IF(P98&gt;0,P98,0))</f>
        <v>67.33</v>
      </c>
      <c r="T98" s="63"/>
      <c r="U98" s="347"/>
      <c r="V98" s="370"/>
      <c r="W98" s="370"/>
      <c r="X98" s="370"/>
      <c r="Y98" s="68">
        <f t="shared" ref="Y98:Y104" si="94">IF(X98&gt;0,X98,IF(V98&gt;0,V98,0))</f>
        <v>0</v>
      </c>
      <c r="Z98" s="345"/>
      <c r="AA98" s="347"/>
      <c r="AB98" s="345"/>
      <c r="AC98" s="345"/>
      <c r="AD98" s="345"/>
      <c r="AE98" s="68">
        <f t="shared" ref="AE98:AE104" si="95">IF(AD98&gt;0,AD98,IF(AB98&gt;0,AB98,0))</f>
        <v>0</v>
      </c>
      <c r="AF98" s="366">
        <v>2020</v>
      </c>
      <c r="AG98" s="358"/>
      <c r="AH98" s="359"/>
      <c r="AI98" s="360"/>
      <c r="AJ98" s="360"/>
      <c r="AK98" s="360" t="str">
        <f t="shared" ref="AK98:AK104" si="96">CONCATENATE(M98,T98,Z98)</f>
        <v>V</v>
      </c>
      <c r="AL98" s="18"/>
      <c r="AM98" s="360" t="str">
        <f t="shared" ref="AM98:AM104" si="97">IF(N98=0,"3",IF(N98&lt;=2018,"2","1"))</f>
        <v>1</v>
      </c>
      <c r="AN98" s="360" t="str">
        <f t="shared" ref="AN98:AN104" si="98">IF(S98&gt;0,"1","2")</f>
        <v>1</v>
      </c>
      <c r="AO98" s="360"/>
      <c r="AP98" s="346" t="str">
        <f t="shared" ref="AP98:AP104" si="99">IF(Y98&gt;0,"1",IF(AE98&gt;0,"1","2"))</f>
        <v>2</v>
      </c>
      <c r="AQ98" s="360" t="str">
        <f t="shared" ref="AQ98:AQ104" si="100">CONCATENATE(AM98,".",AN98,".",AO98,".",AP98)</f>
        <v>1.1..2</v>
      </c>
      <c r="AR98" s="530"/>
      <c r="AS98" s="362" t="s">
        <v>262</v>
      </c>
      <c r="AT98" s="362">
        <v>154</v>
      </c>
      <c r="AU98" s="362">
        <v>67</v>
      </c>
      <c r="AV98" s="368">
        <f t="shared" ref="AV98:AV99" si="101">AU98/AT98</f>
        <v>0.43506493506493504</v>
      </c>
      <c r="AW98" s="362">
        <v>26</v>
      </c>
      <c r="AX98" s="368">
        <f t="shared" ref="AX98:AX99" si="102">AW98/AT98</f>
        <v>0.16883116883116883</v>
      </c>
      <c r="AY98" s="362">
        <v>128</v>
      </c>
      <c r="AZ98" s="368">
        <f t="shared" ref="AZ98:AZ99" si="103">AY98/AT98</f>
        <v>0.83116883116883122</v>
      </c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</row>
    <row r="99" spans="1:68" ht="20.25" customHeight="1">
      <c r="A99" s="100">
        <v>21</v>
      </c>
      <c r="B99" s="100" t="s">
        <v>43</v>
      </c>
      <c r="C99" s="363">
        <v>44978</v>
      </c>
      <c r="D99" s="102" t="s">
        <v>264</v>
      </c>
      <c r="E99" s="100" t="str">
        <f t="shared" si="0"/>
        <v>Sama</v>
      </c>
      <c r="F99" s="63">
        <f t="shared" si="90"/>
        <v>89</v>
      </c>
      <c r="G99" s="63">
        <v>2</v>
      </c>
      <c r="H99" s="62" t="s">
        <v>43</v>
      </c>
      <c r="I99" s="62" t="s">
        <v>264</v>
      </c>
      <c r="J99" s="66">
        <v>182.8231245867737</v>
      </c>
      <c r="K99" s="533" t="s">
        <v>91</v>
      </c>
      <c r="L99" s="68">
        <f t="shared" si="91"/>
        <v>119</v>
      </c>
      <c r="M99" s="63" t="s">
        <v>1076</v>
      </c>
      <c r="N99" s="392">
        <f t="shared" si="92"/>
        <v>2021</v>
      </c>
      <c r="O99" s="531" t="s">
        <v>265</v>
      </c>
      <c r="P99" s="68">
        <v>0</v>
      </c>
      <c r="Q99" s="68">
        <v>0</v>
      </c>
      <c r="R99" s="68">
        <v>119</v>
      </c>
      <c r="S99" s="68">
        <f t="shared" si="93"/>
        <v>119</v>
      </c>
      <c r="T99" s="63"/>
      <c r="U99" s="347"/>
      <c r="V99" s="370"/>
      <c r="W99" s="370"/>
      <c r="X99" s="370"/>
      <c r="Y99" s="68">
        <f t="shared" si="94"/>
        <v>0</v>
      </c>
      <c r="Z99" s="345"/>
      <c r="AA99" s="347"/>
      <c r="AB99" s="345"/>
      <c r="AC99" s="345"/>
      <c r="AD99" s="345"/>
      <c r="AE99" s="68">
        <f t="shared" si="95"/>
        <v>0</v>
      </c>
      <c r="AF99" s="366">
        <v>2020</v>
      </c>
      <c r="AG99" s="358"/>
      <c r="AH99" s="359"/>
      <c r="AI99" s="360"/>
      <c r="AJ99" s="360"/>
      <c r="AK99" s="360" t="str">
        <f t="shared" si="96"/>
        <v>V</v>
      </c>
      <c r="AL99" s="18"/>
      <c r="AM99" s="360" t="str">
        <f t="shared" si="97"/>
        <v>1</v>
      </c>
      <c r="AN99" s="360" t="str">
        <f t="shared" si="98"/>
        <v>1</v>
      </c>
      <c r="AO99" s="360"/>
      <c r="AP99" s="346" t="str">
        <f t="shared" si="99"/>
        <v>2</v>
      </c>
      <c r="AQ99" s="360" t="str">
        <f t="shared" si="100"/>
        <v>1.1..2</v>
      </c>
      <c r="AR99" s="530"/>
      <c r="AS99" s="362" t="s">
        <v>265</v>
      </c>
      <c r="AT99" s="362">
        <v>183</v>
      </c>
      <c r="AU99" s="362">
        <v>119</v>
      </c>
      <c r="AV99" s="368">
        <f t="shared" si="101"/>
        <v>0.65027322404371579</v>
      </c>
      <c r="AW99" s="362">
        <v>96</v>
      </c>
      <c r="AX99" s="368">
        <f t="shared" si="102"/>
        <v>0.52459016393442626</v>
      </c>
      <c r="AY99" s="362">
        <v>86</v>
      </c>
      <c r="AZ99" s="368">
        <f t="shared" si="103"/>
        <v>0.46994535519125685</v>
      </c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</row>
    <row r="100" spans="1:68" ht="20.25" customHeight="1">
      <c r="A100" s="100">
        <v>21</v>
      </c>
      <c r="B100" s="100" t="s">
        <v>43</v>
      </c>
      <c r="C100" s="363">
        <v>45067</v>
      </c>
      <c r="D100" s="102" t="s">
        <v>266</v>
      </c>
      <c r="E100" s="100" t="str">
        <f t="shared" si="0"/>
        <v>Sama</v>
      </c>
      <c r="F100" s="63">
        <f t="shared" si="90"/>
        <v>90</v>
      </c>
      <c r="G100" s="63">
        <v>3</v>
      </c>
      <c r="H100" s="62" t="s">
        <v>43</v>
      </c>
      <c r="I100" s="62" t="s">
        <v>266</v>
      </c>
      <c r="J100" s="66">
        <v>99.28278363217899</v>
      </c>
      <c r="K100" s="533" t="s">
        <v>104</v>
      </c>
      <c r="L100" s="68">
        <f t="shared" si="91"/>
        <v>150</v>
      </c>
      <c r="M100" s="63"/>
      <c r="N100" s="392">
        <f t="shared" si="92"/>
        <v>2013</v>
      </c>
      <c r="O100" s="531" t="s">
        <v>875</v>
      </c>
      <c r="P100" s="68">
        <v>150</v>
      </c>
      <c r="Q100" s="68">
        <v>0</v>
      </c>
      <c r="R100" s="68">
        <v>150</v>
      </c>
      <c r="S100" s="68">
        <f t="shared" si="93"/>
        <v>150</v>
      </c>
      <c r="T100" s="63"/>
      <c r="U100" s="347"/>
      <c r="V100" s="370"/>
      <c r="W100" s="370"/>
      <c r="X100" s="370"/>
      <c r="Y100" s="68">
        <f t="shared" si="94"/>
        <v>0</v>
      </c>
      <c r="Z100" s="345"/>
      <c r="AA100" s="347"/>
      <c r="AB100" s="345"/>
      <c r="AC100" s="345"/>
      <c r="AD100" s="345"/>
      <c r="AE100" s="68">
        <f t="shared" si="95"/>
        <v>0</v>
      </c>
      <c r="AF100" s="366" t="s">
        <v>1097</v>
      </c>
      <c r="AG100" s="358"/>
      <c r="AH100" s="359"/>
      <c r="AI100" s="360"/>
      <c r="AJ100" s="360"/>
      <c r="AK100" s="360" t="str">
        <f t="shared" si="96"/>
        <v/>
      </c>
      <c r="AL100" s="18"/>
      <c r="AM100" s="360" t="str">
        <f t="shared" si="97"/>
        <v>2</v>
      </c>
      <c r="AN100" s="360" t="str">
        <f t="shared" si="98"/>
        <v>1</v>
      </c>
      <c r="AO100" s="360"/>
      <c r="AP100" s="346" t="str">
        <f t="shared" si="99"/>
        <v>2</v>
      </c>
      <c r="AQ100" s="360" t="str">
        <f t="shared" si="100"/>
        <v>2.1..2</v>
      </c>
      <c r="AR100" s="530"/>
      <c r="AS100" s="360"/>
      <c r="AT100" s="362"/>
      <c r="AU100" s="362"/>
      <c r="AV100" s="362"/>
      <c r="AW100" s="362"/>
      <c r="AX100" s="362"/>
      <c r="AY100" s="362"/>
      <c r="AZ100" s="362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</row>
    <row r="101" spans="1:68" ht="20.25" customHeight="1">
      <c r="A101" s="100">
        <v>21</v>
      </c>
      <c r="B101" s="100" t="s">
        <v>43</v>
      </c>
      <c r="C101" s="100" t="s">
        <v>1975</v>
      </c>
      <c r="D101" s="102" t="s">
        <v>268</v>
      </c>
      <c r="E101" s="100" t="str">
        <f t="shared" si="0"/>
        <v>Sama</v>
      </c>
      <c r="F101" s="63">
        <f t="shared" si="90"/>
        <v>91</v>
      </c>
      <c r="G101" s="63">
        <v>4</v>
      </c>
      <c r="H101" s="62" t="s">
        <v>43</v>
      </c>
      <c r="I101" s="62" t="s">
        <v>268</v>
      </c>
      <c r="J101" s="66">
        <v>0</v>
      </c>
      <c r="K101" s="533" t="s">
        <v>123</v>
      </c>
      <c r="L101" s="68">
        <f t="shared" si="91"/>
        <v>0</v>
      </c>
      <c r="M101" s="63"/>
      <c r="N101" s="392">
        <f t="shared" si="92"/>
        <v>2021</v>
      </c>
      <c r="O101" s="531" t="s">
        <v>265</v>
      </c>
      <c r="P101" s="68"/>
      <c r="Q101" s="68"/>
      <c r="R101" s="68"/>
      <c r="S101" s="68">
        <f t="shared" si="93"/>
        <v>0</v>
      </c>
      <c r="T101" s="63"/>
      <c r="U101" s="347"/>
      <c r="V101" s="370"/>
      <c r="W101" s="370"/>
      <c r="X101" s="370"/>
      <c r="Y101" s="68">
        <f t="shared" si="94"/>
        <v>0</v>
      </c>
      <c r="Z101" s="345"/>
      <c r="AA101" s="347"/>
      <c r="AB101" s="345"/>
      <c r="AC101" s="345"/>
      <c r="AD101" s="345"/>
      <c r="AE101" s="68">
        <f t="shared" si="95"/>
        <v>0</v>
      </c>
      <c r="AF101" s="366" t="s">
        <v>1097</v>
      </c>
      <c r="AG101" s="358"/>
      <c r="AH101" s="359"/>
      <c r="AI101" s="360"/>
      <c r="AJ101" s="360"/>
      <c r="AK101" s="360" t="str">
        <f t="shared" si="96"/>
        <v/>
      </c>
      <c r="AL101" s="18"/>
      <c r="AM101" s="360" t="str">
        <f t="shared" si="97"/>
        <v>1</v>
      </c>
      <c r="AN101" s="360" t="str">
        <f t="shared" si="98"/>
        <v>2</v>
      </c>
      <c r="AO101" s="360"/>
      <c r="AP101" s="346" t="str">
        <f t="shared" si="99"/>
        <v>2</v>
      </c>
      <c r="AQ101" s="360" t="str">
        <f t="shared" si="100"/>
        <v>1.2..2</v>
      </c>
      <c r="AR101" s="530"/>
      <c r="AS101" s="360"/>
      <c r="AT101" s="362"/>
      <c r="AU101" s="362"/>
      <c r="AV101" s="362"/>
      <c r="AW101" s="362"/>
      <c r="AX101" s="362"/>
      <c r="AY101" s="362"/>
      <c r="AZ101" s="362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</row>
    <row r="102" spans="1:68" ht="20.25" customHeight="1">
      <c r="A102" s="100">
        <v>21</v>
      </c>
      <c r="B102" s="100" t="s">
        <v>43</v>
      </c>
      <c r="C102" s="100" t="s">
        <v>1976</v>
      </c>
      <c r="D102" s="102" t="s">
        <v>1977</v>
      </c>
      <c r="E102" s="100" t="str">
        <f t="shared" si="0"/>
        <v>Sama</v>
      </c>
      <c r="F102" s="63">
        <f t="shared" si="90"/>
        <v>92</v>
      </c>
      <c r="G102" s="63">
        <v>5</v>
      </c>
      <c r="H102" s="62" t="s">
        <v>43</v>
      </c>
      <c r="I102" s="62" t="s">
        <v>1977</v>
      </c>
      <c r="J102" s="66">
        <v>1.325343384300141</v>
      </c>
      <c r="K102" s="533" t="s">
        <v>123</v>
      </c>
      <c r="L102" s="68">
        <f t="shared" si="91"/>
        <v>0</v>
      </c>
      <c r="M102" s="63"/>
      <c r="N102" s="392">
        <f t="shared" si="92"/>
        <v>2014</v>
      </c>
      <c r="O102" s="382" t="s">
        <v>270</v>
      </c>
      <c r="P102" s="68"/>
      <c r="Q102" s="68"/>
      <c r="R102" s="68"/>
      <c r="S102" s="68">
        <f t="shared" si="93"/>
        <v>0</v>
      </c>
      <c r="T102" s="63"/>
      <c r="U102" s="347"/>
      <c r="V102" s="370"/>
      <c r="W102" s="370"/>
      <c r="X102" s="370"/>
      <c r="Y102" s="68">
        <f t="shared" si="94"/>
        <v>0</v>
      </c>
      <c r="Z102" s="345"/>
      <c r="AA102" s="347"/>
      <c r="AB102" s="345"/>
      <c r="AC102" s="345"/>
      <c r="AD102" s="345"/>
      <c r="AE102" s="68">
        <f t="shared" si="95"/>
        <v>0</v>
      </c>
      <c r="AF102" s="366" t="s">
        <v>1097</v>
      </c>
      <c r="AG102" s="358"/>
      <c r="AH102" s="359"/>
      <c r="AI102" s="360"/>
      <c r="AJ102" s="360"/>
      <c r="AK102" s="360" t="str">
        <f t="shared" si="96"/>
        <v/>
      </c>
      <c r="AL102" s="18"/>
      <c r="AM102" s="360" t="str">
        <f t="shared" si="97"/>
        <v>2</v>
      </c>
      <c r="AN102" s="360" t="str">
        <f t="shared" si="98"/>
        <v>2</v>
      </c>
      <c r="AO102" s="360"/>
      <c r="AP102" s="346" t="str">
        <f t="shared" si="99"/>
        <v>2</v>
      </c>
      <c r="AQ102" s="360" t="str">
        <f t="shared" si="100"/>
        <v>2.2..2</v>
      </c>
      <c r="AR102" s="530"/>
      <c r="AS102" s="360"/>
      <c r="AT102" s="362"/>
      <c r="AU102" s="362"/>
      <c r="AV102" s="362"/>
      <c r="AW102" s="362"/>
      <c r="AX102" s="362"/>
      <c r="AY102" s="362"/>
      <c r="AZ102" s="362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</row>
    <row r="103" spans="1:68" ht="20.25" customHeight="1">
      <c r="A103" s="100">
        <v>21</v>
      </c>
      <c r="B103" s="100" t="s">
        <v>43</v>
      </c>
      <c r="C103" s="363">
        <v>45037</v>
      </c>
      <c r="D103" s="102" t="s">
        <v>271</v>
      </c>
      <c r="E103" s="100" t="str">
        <f t="shared" si="0"/>
        <v>Sama</v>
      </c>
      <c r="F103" s="63">
        <f t="shared" si="90"/>
        <v>93</v>
      </c>
      <c r="G103" s="63">
        <v>6</v>
      </c>
      <c r="H103" s="62" t="s">
        <v>43</v>
      </c>
      <c r="I103" s="62" t="s">
        <v>271</v>
      </c>
      <c r="J103" s="66">
        <v>514.61319385260401</v>
      </c>
      <c r="K103" s="533" t="s">
        <v>104</v>
      </c>
      <c r="L103" s="68">
        <f t="shared" si="91"/>
        <v>1320</v>
      </c>
      <c r="M103" s="63"/>
      <c r="N103" s="392">
        <f t="shared" si="92"/>
        <v>2013</v>
      </c>
      <c r="O103" s="382" t="s">
        <v>167</v>
      </c>
      <c r="P103" s="68">
        <v>1320</v>
      </c>
      <c r="Q103" s="68">
        <v>0</v>
      </c>
      <c r="R103" s="68">
        <v>1320</v>
      </c>
      <c r="S103" s="68">
        <f t="shared" si="93"/>
        <v>1320</v>
      </c>
      <c r="T103" s="63"/>
      <c r="U103" s="347"/>
      <c r="V103" s="370"/>
      <c r="W103" s="370"/>
      <c r="X103" s="370"/>
      <c r="Y103" s="68">
        <f t="shared" si="94"/>
        <v>0</v>
      </c>
      <c r="Z103" s="345"/>
      <c r="AA103" s="347"/>
      <c r="AB103" s="345"/>
      <c r="AC103" s="345"/>
      <c r="AD103" s="345"/>
      <c r="AE103" s="68">
        <f t="shared" si="95"/>
        <v>0</v>
      </c>
      <c r="AF103" s="366" t="s">
        <v>1097</v>
      </c>
      <c r="AG103" s="358"/>
      <c r="AH103" s="359"/>
      <c r="AI103" s="360"/>
      <c r="AJ103" s="360"/>
      <c r="AK103" s="360" t="str">
        <f t="shared" si="96"/>
        <v/>
      </c>
      <c r="AL103" s="18"/>
      <c r="AM103" s="360" t="str">
        <f t="shared" si="97"/>
        <v>2</v>
      </c>
      <c r="AN103" s="360" t="str">
        <f t="shared" si="98"/>
        <v>1</v>
      </c>
      <c r="AO103" s="360"/>
      <c r="AP103" s="346" t="str">
        <f t="shared" si="99"/>
        <v>2</v>
      </c>
      <c r="AQ103" s="360" t="str">
        <f t="shared" si="100"/>
        <v>2.1..2</v>
      </c>
      <c r="AR103" s="530"/>
      <c r="AS103" s="360"/>
      <c r="AT103" s="362"/>
      <c r="AU103" s="362"/>
      <c r="AV103" s="362"/>
      <c r="AW103" s="362"/>
      <c r="AX103" s="362"/>
      <c r="AY103" s="362"/>
      <c r="AZ103" s="362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</row>
    <row r="104" spans="1:68" ht="20.25" customHeight="1">
      <c r="A104" s="100">
        <v>21</v>
      </c>
      <c r="B104" s="100" t="s">
        <v>43</v>
      </c>
      <c r="C104" s="363">
        <v>45006</v>
      </c>
      <c r="D104" s="102" t="s">
        <v>272</v>
      </c>
      <c r="E104" s="100" t="str">
        <f t="shared" si="0"/>
        <v>Sama</v>
      </c>
      <c r="F104" s="63">
        <f t="shared" si="90"/>
        <v>94</v>
      </c>
      <c r="G104" s="63">
        <v>7</v>
      </c>
      <c r="H104" s="62" t="s">
        <v>43</v>
      </c>
      <c r="I104" s="62" t="s">
        <v>272</v>
      </c>
      <c r="J104" s="66">
        <v>442.12406838048526</v>
      </c>
      <c r="K104" s="533" t="s">
        <v>91</v>
      </c>
      <c r="L104" s="68">
        <f t="shared" si="91"/>
        <v>1840</v>
      </c>
      <c r="M104" s="63" t="s">
        <v>1076</v>
      </c>
      <c r="N104" s="392">
        <f t="shared" si="92"/>
        <v>2021</v>
      </c>
      <c r="O104" s="382" t="s">
        <v>273</v>
      </c>
      <c r="P104" s="68"/>
      <c r="Q104" s="68">
        <v>0</v>
      </c>
      <c r="R104" s="68">
        <v>1840</v>
      </c>
      <c r="S104" s="68">
        <f t="shared" si="93"/>
        <v>1840</v>
      </c>
      <c r="T104" s="63"/>
      <c r="U104" s="347"/>
      <c r="V104" s="370"/>
      <c r="W104" s="370"/>
      <c r="X104" s="370"/>
      <c r="Y104" s="68">
        <f t="shared" si="94"/>
        <v>0</v>
      </c>
      <c r="Z104" s="345"/>
      <c r="AA104" s="347"/>
      <c r="AB104" s="345"/>
      <c r="AC104" s="345"/>
      <c r="AD104" s="345"/>
      <c r="AE104" s="68">
        <f t="shared" si="95"/>
        <v>0</v>
      </c>
      <c r="AF104" s="366">
        <v>2020</v>
      </c>
      <c r="AG104" s="358"/>
      <c r="AH104" s="359"/>
      <c r="AI104" s="360"/>
      <c r="AJ104" s="360"/>
      <c r="AK104" s="360" t="str">
        <f t="shared" si="96"/>
        <v>V</v>
      </c>
      <c r="AL104" s="18"/>
      <c r="AM104" s="360" t="str">
        <f t="shared" si="97"/>
        <v>1</v>
      </c>
      <c r="AN104" s="360" t="str">
        <f t="shared" si="98"/>
        <v>1</v>
      </c>
      <c r="AO104" s="360"/>
      <c r="AP104" s="346" t="str">
        <f t="shared" si="99"/>
        <v>2</v>
      </c>
      <c r="AQ104" s="360" t="str">
        <f t="shared" si="100"/>
        <v>1.1..2</v>
      </c>
      <c r="AR104" s="530"/>
      <c r="AS104" s="362" t="s">
        <v>1978</v>
      </c>
      <c r="AT104" s="362">
        <v>442</v>
      </c>
      <c r="AU104" s="367">
        <v>1840</v>
      </c>
      <c r="AV104" s="368">
        <f>AU104/AT104</f>
        <v>4.1628959276018103</v>
      </c>
      <c r="AW104" s="362">
        <v>389</v>
      </c>
      <c r="AX104" s="368">
        <f>AW104/AT104</f>
        <v>0.88009049773755654</v>
      </c>
      <c r="AY104" s="362">
        <v>53</v>
      </c>
      <c r="AZ104" s="368">
        <f>AY104/AT104</f>
        <v>0.11990950226244344</v>
      </c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</row>
    <row r="105" spans="1:68" ht="20.25" customHeight="1">
      <c r="A105" s="100">
        <v>15</v>
      </c>
      <c r="B105" s="100" t="s">
        <v>38</v>
      </c>
      <c r="C105" s="100">
        <v>15</v>
      </c>
      <c r="D105" s="102" t="s">
        <v>1979</v>
      </c>
      <c r="E105" s="100" t="str">
        <f t="shared" si="0"/>
        <v>Sama</v>
      </c>
      <c r="F105" s="63"/>
      <c r="G105" s="341"/>
      <c r="H105" s="379"/>
      <c r="I105" s="379" t="s">
        <v>1979</v>
      </c>
      <c r="J105" s="380">
        <f>SUM(J106:J116)</f>
        <v>68349.342412178477</v>
      </c>
      <c r="K105" s="353">
        <f>COUNTIF(K106:K116,"D") + COUNTIF(K106:K116,"DS")</f>
        <v>9</v>
      </c>
      <c r="L105" s="383">
        <f>SUBTOTAL(9,L106:L116)</f>
        <v>274534.11</v>
      </c>
      <c r="M105" s="342">
        <f>COUNTIF(M106:M116,$M$96)</f>
        <v>0</v>
      </c>
      <c r="N105" s="355"/>
      <c r="O105" s="356"/>
      <c r="P105" s="383">
        <f t="shared" ref="P105:S105" si="104">SUBTOTAL(9,P106:P116)</f>
        <v>269246.11</v>
      </c>
      <c r="Q105" s="383">
        <f t="shared" si="104"/>
        <v>0</v>
      </c>
      <c r="R105" s="383">
        <f t="shared" si="104"/>
        <v>269246.11</v>
      </c>
      <c r="S105" s="383">
        <f t="shared" si="104"/>
        <v>269246.11</v>
      </c>
      <c r="T105" s="342">
        <f>COUNTIF(T106:T116,$M$96)</f>
        <v>0</v>
      </c>
      <c r="U105" s="351"/>
      <c r="V105" s="384">
        <f t="shared" ref="V105:X105" si="105">V106+V107+V108+V109+V110+V111+V112+V113+V114+V115</f>
        <v>94764.32</v>
      </c>
      <c r="W105" s="384">
        <f t="shared" si="105"/>
        <v>10000</v>
      </c>
      <c r="X105" s="384">
        <f t="shared" si="105"/>
        <v>34881.46</v>
      </c>
      <c r="Y105" s="383">
        <f>SUBTOTAL(9,Y106:Y116)</f>
        <v>94764.32</v>
      </c>
      <c r="Z105" s="342">
        <f>COUNTIF(Z106:Z116,$M$96)</f>
        <v>1</v>
      </c>
      <c r="AA105" s="351">
        <v>1</v>
      </c>
      <c r="AB105" s="337">
        <v>45173.32</v>
      </c>
      <c r="AC105" s="337">
        <v>0</v>
      </c>
      <c r="AD105" s="337">
        <v>34881.46</v>
      </c>
      <c r="AE105" s="383">
        <f>SUBTOTAL(9,AE106:AE116)</f>
        <v>5288</v>
      </c>
      <c r="AF105" s="357" t="s">
        <v>1138</v>
      </c>
      <c r="AG105" s="358"/>
      <c r="AH105" s="359"/>
      <c r="AI105" s="360"/>
      <c r="AJ105" s="360"/>
      <c r="AK105" s="361">
        <f>COUNTIF(AK106:AK116,"V") + COUNTIF(AK106:AK116,"VV") + COUNTIF(AK106:AK116,"VVV")</f>
        <v>1</v>
      </c>
      <c r="AL105" s="18"/>
      <c r="AM105" s="360"/>
      <c r="AN105" s="360"/>
      <c r="AO105" s="360"/>
      <c r="AP105" s="346"/>
      <c r="AQ105" s="360"/>
      <c r="AR105" s="530"/>
      <c r="AS105" s="360"/>
      <c r="AT105" s="362"/>
      <c r="AU105" s="362"/>
      <c r="AV105" s="362"/>
      <c r="AW105" s="362"/>
      <c r="AX105" s="362"/>
      <c r="AY105" s="362"/>
      <c r="AZ105" s="362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</row>
    <row r="106" spans="1:68" ht="20.25" customHeight="1">
      <c r="A106" s="100">
        <v>15</v>
      </c>
      <c r="B106" s="100" t="s">
        <v>38</v>
      </c>
      <c r="C106" s="363">
        <v>45031</v>
      </c>
      <c r="D106" s="102" t="s">
        <v>274</v>
      </c>
      <c r="E106" s="100" t="str">
        <f t="shared" si="0"/>
        <v>Beda</v>
      </c>
      <c r="F106" s="63">
        <f t="shared" ref="F106:F116" si="106">SUBTOTAL(3,$G$7:G106)</f>
        <v>95</v>
      </c>
      <c r="G106" s="63">
        <v>1</v>
      </c>
      <c r="H106" s="62" t="s">
        <v>38</v>
      </c>
      <c r="I106" s="62" t="s">
        <v>1980</v>
      </c>
      <c r="J106" s="66">
        <v>7287.3484691504718</v>
      </c>
      <c r="K106" s="533" t="s">
        <v>104</v>
      </c>
      <c r="L106" s="68">
        <f t="shared" ref="L106:L116" si="107">IF(S106&gt;0,S106,IF(Y106&gt;0,Y106,IF(AE106&gt;0,AE106,0)))</f>
        <v>8670</v>
      </c>
      <c r="M106" s="63"/>
      <c r="N106" s="365">
        <f t="shared" ref="N106:N116" si="108">VALUE(RIGHT(O106,4))</f>
        <v>2013</v>
      </c>
      <c r="O106" s="382" t="s">
        <v>913</v>
      </c>
      <c r="P106" s="68">
        <v>8670</v>
      </c>
      <c r="Q106" s="68">
        <v>0</v>
      </c>
      <c r="R106" s="68">
        <v>8670</v>
      </c>
      <c r="S106" s="68">
        <f t="shared" ref="S106:S116" si="109">IF(R106&gt;0,R106,IF(P106&gt;0,P106,0))</f>
        <v>8670</v>
      </c>
      <c r="T106" s="63"/>
      <c r="U106" s="347" t="s">
        <v>1228</v>
      </c>
      <c r="V106" s="370">
        <v>8881.4599999999991</v>
      </c>
      <c r="W106" s="370">
        <v>0</v>
      </c>
      <c r="X106" s="370">
        <v>8881.4599999999991</v>
      </c>
      <c r="Y106" s="68">
        <f t="shared" ref="Y106:Y115" si="110">IF(X106&gt;0,X106,IF(V106&gt;0,V106,0))</f>
        <v>8881.4599999999991</v>
      </c>
      <c r="Z106" s="345"/>
      <c r="AA106" s="347"/>
      <c r="AB106" s="345"/>
      <c r="AC106" s="345"/>
      <c r="AD106" s="345"/>
      <c r="AE106" s="68">
        <f t="shared" ref="AE106:AE115" si="111">IF(AD106&gt;0,AD106,IF(AB106&gt;0,AB106,0))</f>
        <v>0</v>
      </c>
      <c r="AF106" s="366">
        <v>2023</v>
      </c>
      <c r="AG106" s="358" t="s">
        <v>1090</v>
      </c>
      <c r="AH106" s="359"/>
      <c r="AI106" s="360"/>
      <c r="AJ106" s="360"/>
      <c r="AK106" s="360" t="str">
        <f t="shared" ref="AK106:AK116" si="112">CONCATENATE(M106,T106,Z106)</f>
        <v/>
      </c>
      <c r="AL106" s="18"/>
      <c r="AM106" s="360" t="str">
        <f t="shared" ref="AM106:AM116" si="113">IF(N106="","3",IF(N106&lt;=2018,"2","1"))</f>
        <v>2</v>
      </c>
      <c r="AN106" s="360" t="str">
        <f t="shared" ref="AN106:AN116" si="114">IF(S106&gt;0,"1","2")</f>
        <v>1</v>
      </c>
      <c r="AO106" s="360"/>
      <c r="AP106" s="346" t="str">
        <f t="shared" ref="AP106:AP116" si="115">IF(Y106&gt;0,"1",IF(AE106&gt;0,"1","2"))</f>
        <v>1</v>
      </c>
      <c r="AQ106" s="360" t="str">
        <f t="shared" ref="AQ106:AQ116" si="116">CONCATENATE(AM106,".",AN106,".",AO106,".",AP106)</f>
        <v>2.1..1</v>
      </c>
      <c r="AR106" s="530"/>
      <c r="AS106" s="360"/>
      <c r="AT106" s="362"/>
      <c r="AU106" s="362"/>
      <c r="AV106" s="362"/>
      <c r="AW106" s="362"/>
      <c r="AX106" s="362"/>
      <c r="AY106" s="362"/>
      <c r="AZ106" s="362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</row>
    <row r="107" spans="1:68" ht="20.25" customHeight="1">
      <c r="A107" s="100">
        <v>15</v>
      </c>
      <c r="B107" s="100" t="s">
        <v>38</v>
      </c>
      <c r="C107" s="363">
        <v>45153</v>
      </c>
      <c r="D107" s="102" t="s">
        <v>276</v>
      </c>
      <c r="E107" s="100" t="str">
        <f t="shared" si="0"/>
        <v>Sama</v>
      </c>
      <c r="F107" s="63">
        <f t="shared" si="106"/>
        <v>96</v>
      </c>
      <c r="G107" s="63">
        <v>2</v>
      </c>
      <c r="H107" s="62" t="s">
        <v>38</v>
      </c>
      <c r="I107" s="62" t="s">
        <v>276</v>
      </c>
      <c r="J107" s="66">
        <v>4439.0625036094234</v>
      </c>
      <c r="K107" s="533" t="s">
        <v>91</v>
      </c>
      <c r="L107" s="68">
        <f t="shared" si="107"/>
        <v>5288</v>
      </c>
      <c r="M107" s="63"/>
      <c r="N107" s="365">
        <f t="shared" si="108"/>
        <v>2013</v>
      </c>
      <c r="O107" s="382" t="s">
        <v>941</v>
      </c>
      <c r="P107" s="68">
        <v>0</v>
      </c>
      <c r="Q107" s="68">
        <v>0</v>
      </c>
      <c r="R107" s="68">
        <v>0</v>
      </c>
      <c r="S107" s="68">
        <f t="shared" si="109"/>
        <v>0</v>
      </c>
      <c r="T107" s="63"/>
      <c r="U107" s="347" t="s">
        <v>147</v>
      </c>
      <c r="V107" s="370"/>
      <c r="W107" s="370"/>
      <c r="X107" s="370"/>
      <c r="Y107" s="68">
        <f t="shared" si="110"/>
        <v>0</v>
      </c>
      <c r="Z107" s="63" t="s">
        <v>1076</v>
      </c>
      <c r="AA107" s="347" t="s">
        <v>277</v>
      </c>
      <c r="AB107" s="345">
        <v>5288</v>
      </c>
      <c r="AC107" s="345">
        <v>0</v>
      </c>
      <c r="AD107" s="345">
        <v>0</v>
      </c>
      <c r="AE107" s="68">
        <f t="shared" si="111"/>
        <v>5288</v>
      </c>
      <c r="AF107" s="366">
        <v>2020</v>
      </c>
      <c r="AG107" s="358"/>
      <c r="AH107" s="359"/>
      <c r="AI107" s="360"/>
      <c r="AJ107" s="360"/>
      <c r="AK107" s="360" t="str">
        <f t="shared" si="112"/>
        <v>V</v>
      </c>
      <c r="AL107" s="18"/>
      <c r="AM107" s="360" t="str">
        <f t="shared" si="113"/>
        <v>2</v>
      </c>
      <c r="AN107" s="360" t="str">
        <f t="shared" si="114"/>
        <v>2</v>
      </c>
      <c r="AO107" s="360"/>
      <c r="AP107" s="346" t="str">
        <f t="shared" si="115"/>
        <v>1</v>
      </c>
      <c r="AQ107" s="360" t="str">
        <f t="shared" si="116"/>
        <v>2.2..1</v>
      </c>
      <c r="AR107" s="530"/>
      <c r="AS107" s="393" t="s">
        <v>1981</v>
      </c>
      <c r="AT107" s="394">
        <v>4439</v>
      </c>
      <c r="AU107" s="394">
        <v>5286</v>
      </c>
      <c r="AV107" s="368">
        <f>AU107/AT107</f>
        <v>1.1908087407073664</v>
      </c>
      <c r="AW107" s="394">
        <v>4205</v>
      </c>
      <c r="AX107" s="368">
        <f>AW107/AT107</f>
        <v>0.94728542464519039</v>
      </c>
      <c r="AY107" s="395">
        <v>234</v>
      </c>
      <c r="AZ107" s="368">
        <f>AY107/AT107</f>
        <v>5.271457535480964E-2</v>
      </c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</row>
    <row r="108" spans="1:68" ht="20.25" customHeight="1">
      <c r="A108" s="100">
        <v>15</v>
      </c>
      <c r="B108" s="100" t="s">
        <v>38</v>
      </c>
      <c r="C108" s="363">
        <v>44941</v>
      </c>
      <c r="D108" s="102" t="s">
        <v>278</v>
      </c>
      <c r="E108" s="100" t="str">
        <f t="shared" si="0"/>
        <v>Sama</v>
      </c>
      <c r="F108" s="63">
        <f t="shared" si="106"/>
        <v>97</v>
      </c>
      <c r="G108" s="63">
        <v>3</v>
      </c>
      <c r="H108" s="62" t="s">
        <v>38</v>
      </c>
      <c r="I108" s="62" t="s">
        <v>278</v>
      </c>
      <c r="J108" s="66">
        <v>12876.112196200453</v>
      </c>
      <c r="K108" s="533" t="s">
        <v>104</v>
      </c>
      <c r="L108" s="68">
        <f t="shared" si="107"/>
        <v>33022</v>
      </c>
      <c r="M108" s="63"/>
      <c r="N108" s="365">
        <f t="shared" si="108"/>
        <v>2012</v>
      </c>
      <c r="O108" s="382" t="s">
        <v>279</v>
      </c>
      <c r="P108" s="68">
        <v>33022</v>
      </c>
      <c r="Q108" s="68">
        <v>0</v>
      </c>
      <c r="R108" s="68">
        <v>33022</v>
      </c>
      <c r="S108" s="68">
        <f t="shared" si="109"/>
        <v>33022</v>
      </c>
      <c r="T108" s="63"/>
      <c r="U108" s="347" t="s">
        <v>331</v>
      </c>
      <c r="V108" s="370">
        <v>9000</v>
      </c>
      <c r="W108" s="370">
        <v>0</v>
      </c>
      <c r="X108" s="370">
        <v>9000</v>
      </c>
      <c r="Y108" s="68">
        <f t="shared" si="110"/>
        <v>9000</v>
      </c>
      <c r="Z108" s="345"/>
      <c r="AA108" s="347"/>
      <c r="AB108" s="345"/>
      <c r="AC108" s="345"/>
      <c r="AD108" s="345"/>
      <c r="AE108" s="68">
        <f t="shared" si="111"/>
        <v>0</v>
      </c>
      <c r="AF108" s="366">
        <v>2023</v>
      </c>
      <c r="AG108" s="358" t="s">
        <v>1090</v>
      </c>
      <c r="AH108" s="359"/>
      <c r="AI108" s="360"/>
      <c r="AJ108" s="360"/>
      <c r="AK108" s="360" t="str">
        <f t="shared" si="112"/>
        <v/>
      </c>
      <c r="AL108" s="18"/>
      <c r="AM108" s="360" t="str">
        <f t="shared" si="113"/>
        <v>2</v>
      </c>
      <c r="AN108" s="360" t="str">
        <f t="shared" si="114"/>
        <v>1</v>
      </c>
      <c r="AO108" s="360"/>
      <c r="AP108" s="346" t="str">
        <f t="shared" si="115"/>
        <v>1</v>
      </c>
      <c r="AQ108" s="360" t="str">
        <f t="shared" si="116"/>
        <v>2.1..1</v>
      </c>
      <c r="AR108" s="530"/>
      <c r="AS108" s="360"/>
      <c r="AT108" s="362"/>
      <c r="AU108" s="362"/>
      <c r="AV108" s="362"/>
      <c r="AW108" s="362"/>
      <c r="AX108" s="362"/>
      <c r="AY108" s="362"/>
      <c r="AZ108" s="362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</row>
    <row r="109" spans="1:68" ht="20.25" customHeight="1">
      <c r="A109" s="100">
        <v>15</v>
      </c>
      <c r="B109" s="100" t="s">
        <v>38</v>
      </c>
      <c r="C109" s="100" t="s">
        <v>1982</v>
      </c>
      <c r="D109" s="102" t="s">
        <v>280</v>
      </c>
      <c r="E109" s="100" t="str">
        <f t="shared" si="0"/>
        <v>Sama</v>
      </c>
      <c r="F109" s="63">
        <f t="shared" si="106"/>
        <v>98</v>
      </c>
      <c r="G109" s="63">
        <v>4</v>
      </c>
      <c r="H109" s="62" t="s">
        <v>38</v>
      </c>
      <c r="I109" s="62" t="s">
        <v>280</v>
      </c>
      <c r="J109" s="66">
        <v>520.3251967200689</v>
      </c>
      <c r="K109" s="533" t="s">
        <v>123</v>
      </c>
      <c r="L109" s="68">
        <f t="shared" si="107"/>
        <v>0</v>
      </c>
      <c r="M109" s="63"/>
      <c r="N109" s="365">
        <f t="shared" si="108"/>
        <v>2013</v>
      </c>
      <c r="O109" s="382" t="s">
        <v>941</v>
      </c>
      <c r="P109" s="68"/>
      <c r="Q109" s="68"/>
      <c r="R109" s="68"/>
      <c r="S109" s="68">
        <f t="shared" si="109"/>
        <v>0</v>
      </c>
      <c r="T109" s="63"/>
      <c r="U109" s="347"/>
      <c r="V109" s="370"/>
      <c r="W109" s="370"/>
      <c r="X109" s="370"/>
      <c r="Y109" s="68">
        <f t="shared" si="110"/>
        <v>0</v>
      </c>
      <c r="Z109" s="345"/>
      <c r="AA109" s="347"/>
      <c r="AB109" s="345"/>
      <c r="AC109" s="345"/>
      <c r="AD109" s="345"/>
      <c r="AE109" s="68">
        <f t="shared" si="111"/>
        <v>0</v>
      </c>
      <c r="AF109" s="366" t="s">
        <v>1097</v>
      </c>
      <c r="AG109" s="358"/>
      <c r="AH109" s="359"/>
      <c r="AI109" s="360"/>
      <c r="AJ109" s="360"/>
      <c r="AK109" s="360" t="str">
        <f t="shared" si="112"/>
        <v/>
      </c>
      <c r="AL109" s="18"/>
      <c r="AM109" s="360" t="str">
        <f t="shared" si="113"/>
        <v>2</v>
      </c>
      <c r="AN109" s="360" t="str">
        <f t="shared" si="114"/>
        <v>2</v>
      </c>
      <c r="AO109" s="360"/>
      <c r="AP109" s="346" t="str">
        <f t="shared" si="115"/>
        <v>2</v>
      </c>
      <c r="AQ109" s="360" t="str">
        <f t="shared" si="116"/>
        <v>2.2..2</v>
      </c>
      <c r="AR109" s="530"/>
      <c r="AS109" s="360"/>
      <c r="AT109" s="362"/>
      <c r="AU109" s="362"/>
      <c r="AV109" s="362"/>
      <c r="AW109" s="362"/>
      <c r="AX109" s="362"/>
      <c r="AY109" s="362"/>
      <c r="AZ109" s="362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</row>
    <row r="110" spans="1:68" ht="20.25" customHeight="1">
      <c r="A110" s="100">
        <v>15</v>
      </c>
      <c r="B110" s="100" t="s">
        <v>38</v>
      </c>
      <c r="C110" s="100" t="s">
        <v>1983</v>
      </c>
      <c r="D110" s="102" t="s">
        <v>282</v>
      </c>
      <c r="E110" s="100" t="str">
        <f t="shared" si="0"/>
        <v>Sama</v>
      </c>
      <c r="F110" s="63">
        <f t="shared" si="106"/>
        <v>99</v>
      </c>
      <c r="G110" s="63">
        <v>5</v>
      </c>
      <c r="H110" s="62" t="s">
        <v>38</v>
      </c>
      <c r="I110" s="62" t="s">
        <v>282</v>
      </c>
      <c r="J110" s="66">
        <v>3951.8564539220347</v>
      </c>
      <c r="K110" s="533" t="s">
        <v>123</v>
      </c>
      <c r="L110" s="68">
        <f t="shared" si="107"/>
        <v>0</v>
      </c>
      <c r="M110" s="63"/>
      <c r="N110" s="365">
        <f t="shared" si="108"/>
        <v>2012</v>
      </c>
      <c r="O110" s="382" t="s">
        <v>801</v>
      </c>
      <c r="P110" s="68"/>
      <c r="Q110" s="68"/>
      <c r="R110" s="68"/>
      <c r="S110" s="68">
        <f t="shared" si="109"/>
        <v>0</v>
      </c>
      <c r="T110" s="63"/>
      <c r="U110" s="347"/>
      <c r="V110" s="370"/>
      <c r="W110" s="370"/>
      <c r="X110" s="370"/>
      <c r="Y110" s="68">
        <f t="shared" si="110"/>
        <v>0</v>
      </c>
      <c r="Z110" s="345"/>
      <c r="AA110" s="347"/>
      <c r="AB110" s="345"/>
      <c r="AC110" s="345"/>
      <c r="AD110" s="345"/>
      <c r="AE110" s="68">
        <f t="shared" si="111"/>
        <v>0</v>
      </c>
      <c r="AF110" s="366" t="s">
        <v>1097</v>
      </c>
      <c r="AG110" s="358"/>
      <c r="AH110" s="359"/>
      <c r="AI110" s="360"/>
      <c r="AJ110" s="360" t="s">
        <v>1233</v>
      </c>
      <c r="AK110" s="360" t="str">
        <f t="shared" si="112"/>
        <v/>
      </c>
      <c r="AL110" s="18"/>
      <c r="AM110" s="360" t="str">
        <f t="shared" si="113"/>
        <v>2</v>
      </c>
      <c r="AN110" s="360" t="str">
        <f t="shared" si="114"/>
        <v>2</v>
      </c>
      <c r="AO110" s="360"/>
      <c r="AP110" s="346" t="str">
        <f t="shared" si="115"/>
        <v>2</v>
      </c>
      <c r="AQ110" s="360" t="str">
        <f t="shared" si="116"/>
        <v>2.2..2</v>
      </c>
      <c r="AR110" s="530"/>
      <c r="AS110" s="360"/>
      <c r="AT110" s="362"/>
      <c r="AU110" s="362"/>
      <c r="AV110" s="362"/>
      <c r="AW110" s="362"/>
      <c r="AX110" s="362"/>
      <c r="AY110" s="362"/>
      <c r="AZ110" s="362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</row>
    <row r="111" spans="1:68" ht="20.25" customHeight="1">
      <c r="A111" s="100">
        <v>15</v>
      </c>
      <c r="B111" s="100" t="s">
        <v>38</v>
      </c>
      <c r="C111" s="363">
        <v>44972</v>
      </c>
      <c r="D111" s="102" t="s">
        <v>284</v>
      </c>
      <c r="E111" s="100" t="str">
        <f t="shared" si="0"/>
        <v>Sama</v>
      </c>
      <c r="F111" s="63">
        <f t="shared" si="106"/>
        <v>100</v>
      </c>
      <c r="G111" s="63">
        <v>6</v>
      </c>
      <c r="H111" s="62" t="s">
        <v>38</v>
      </c>
      <c r="I111" s="62" t="s">
        <v>284</v>
      </c>
      <c r="J111" s="66">
        <v>5786.7880307676705</v>
      </c>
      <c r="K111" s="533" t="s">
        <v>104</v>
      </c>
      <c r="L111" s="68">
        <f t="shared" si="107"/>
        <v>43213.71</v>
      </c>
      <c r="M111" s="63"/>
      <c r="N111" s="365">
        <f t="shared" si="108"/>
        <v>2014</v>
      </c>
      <c r="O111" s="382" t="s">
        <v>285</v>
      </c>
      <c r="P111" s="68">
        <v>43213.71</v>
      </c>
      <c r="Q111" s="68">
        <v>0</v>
      </c>
      <c r="R111" s="68">
        <v>43213.71</v>
      </c>
      <c r="S111" s="68">
        <f t="shared" si="109"/>
        <v>43213.71</v>
      </c>
      <c r="T111" s="63"/>
      <c r="U111" s="347"/>
      <c r="V111" s="370"/>
      <c r="W111" s="370"/>
      <c r="X111" s="370"/>
      <c r="Y111" s="68">
        <f t="shared" si="110"/>
        <v>0</v>
      </c>
      <c r="Z111" s="345"/>
      <c r="AA111" s="347"/>
      <c r="AB111" s="345"/>
      <c r="AC111" s="345"/>
      <c r="AD111" s="345"/>
      <c r="AE111" s="68">
        <f t="shared" si="111"/>
        <v>0</v>
      </c>
      <c r="AF111" s="366">
        <v>2023</v>
      </c>
      <c r="AG111" s="358" t="s">
        <v>1090</v>
      </c>
      <c r="AH111" s="359"/>
      <c r="AI111" s="360"/>
      <c r="AJ111" s="360" t="s">
        <v>1233</v>
      </c>
      <c r="AK111" s="360" t="str">
        <f t="shared" si="112"/>
        <v/>
      </c>
      <c r="AL111" s="18"/>
      <c r="AM111" s="360" t="str">
        <f t="shared" si="113"/>
        <v>2</v>
      </c>
      <c r="AN111" s="360" t="str">
        <f t="shared" si="114"/>
        <v>1</v>
      </c>
      <c r="AO111" s="360"/>
      <c r="AP111" s="346" t="str">
        <f t="shared" si="115"/>
        <v>2</v>
      </c>
      <c r="AQ111" s="360" t="str">
        <f t="shared" si="116"/>
        <v>2.1..2</v>
      </c>
      <c r="AR111" s="530"/>
      <c r="AS111" s="360"/>
      <c r="AT111" s="362"/>
      <c r="AU111" s="362"/>
      <c r="AV111" s="362"/>
      <c r="AW111" s="362"/>
      <c r="AX111" s="362"/>
      <c r="AY111" s="362"/>
      <c r="AZ111" s="362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</row>
    <row r="112" spans="1:68" ht="20.25" customHeight="1">
      <c r="A112" s="100">
        <v>15</v>
      </c>
      <c r="B112" s="100" t="s">
        <v>38</v>
      </c>
      <c r="C112" s="363">
        <v>45061</v>
      </c>
      <c r="D112" s="102" t="s">
        <v>286</v>
      </c>
      <c r="E112" s="100" t="str">
        <f t="shared" si="0"/>
        <v>Sama</v>
      </c>
      <c r="F112" s="63">
        <f t="shared" si="106"/>
        <v>101</v>
      </c>
      <c r="G112" s="63">
        <v>7</v>
      </c>
      <c r="H112" s="62" t="s">
        <v>38</v>
      </c>
      <c r="I112" s="62" t="s">
        <v>286</v>
      </c>
      <c r="J112" s="66">
        <v>6370.92216481783</v>
      </c>
      <c r="K112" s="533" t="s">
        <v>104</v>
      </c>
      <c r="L112" s="68">
        <f t="shared" si="107"/>
        <v>28154.400000000001</v>
      </c>
      <c r="M112" s="63"/>
      <c r="N112" s="365">
        <f t="shared" si="108"/>
        <v>2014</v>
      </c>
      <c r="O112" s="382" t="s">
        <v>287</v>
      </c>
      <c r="P112" s="68">
        <v>28154.400000000001</v>
      </c>
      <c r="Q112" s="68">
        <v>0</v>
      </c>
      <c r="R112" s="68">
        <v>28154.400000000001</v>
      </c>
      <c r="S112" s="68">
        <f t="shared" si="109"/>
        <v>28154.400000000001</v>
      </c>
      <c r="T112" s="63"/>
      <c r="U112" s="347"/>
      <c r="V112" s="370"/>
      <c r="W112" s="370"/>
      <c r="X112" s="370"/>
      <c r="Y112" s="68">
        <f t="shared" si="110"/>
        <v>0</v>
      </c>
      <c r="Z112" s="345"/>
      <c r="AA112" s="347"/>
      <c r="AB112" s="345"/>
      <c r="AC112" s="345"/>
      <c r="AD112" s="345"/>
      <c r="AE112" s="68">
        <f t="shared" si="111"/>
        <v>0</v>
      </c>
      <c r="AF112" s="366" t="s">
        <v>1129</v>
      </c>
      <c r="AG112" s="358" t="s">
        <v>1090</v>
      </c>
      <c r="AH112" s="359"/>
      <c r="AI112" s="360"/>
      <c r="AJ112" s="360"/>
      <c r="AK112" s="360" t="str">
        <f t="shared" si="112"/>
        <v/>
      </c>
      <c r="AL112" s="18"/>
      <c r="AM112" s="360" t="str">
        <f t="shared" si="113"/>
        <v>2</v>
      </c>
      <c r="AN112" s="360" t="str">
        <f t="shared" si="114"/>
        <v>1</v>
      </c>
      <c r="AO112" s="360"/>
      <c r="AP112" s="346" t="str">
        <f t="shared" si="115"/>
        <v>2</v>
      </c>
      <c r="AQ112" s="360" t="str">
        <f t="shared" si="116"/>
        <v>2.1..2</v>
      </c>
      <c r="AR112" s="530"/>
      <c r="AS112" s="360"/>
      <c r="AT112" s="362"/>
      <c r="AU112" s="362"/>
      <c r="AV112" s="362"/>
      <c r="AW112" s="362"/>
      <c r="AX112" s="362"/>
      <c r="AY112" s="362"/>
      <c r="AZ112" s="362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</row>
    <row r="113" spans="1:68" ht="20.25" customHeight="1">
      <c r="A113" s="100">
        <v>15</v>
      </c>
      <c r="B113" s="100" t="s">
        <v>38</v>
      </c>
      <c r="C113" s="363">
        <v>45000</v>
      </c>
      <c r="D113" s="102" t="s">
        <v>288</v>
      </c>
      <c r="E113" s="100" t="str">
        <f t="shared" si="0"/>
        <v>Sama</v>
      </c>
      <c r="F113" s="63">
        <f t="shared" si="106"/>
        <v>102</v>
      </c>
      <c r="G113" s="63">
        <v>8</v>
      </c>
      <c r="H113" s="62" t="s">
        <v>38</v>
      </c>
      <c r="I113" s="62" t="s">
        <v>288</v>
      </c>
      <c r="J113" s="66">
        <v>3835.2564298252005</v>
      </c>
      <c r="K113" s="533" t="s">
        <v>104</v>
      </c>
      <c r="L113" s="68">
        <f t="shared" si="107"/>
        <v>48145</v>
      </c>
      <c r="M113" s="63"/>
      <c r="N113" s="365">
        <f t="shared" si="108"/>
        <v>2014</v>
      </c>
      <c r="O113" s="382" t="s">
        <v>1225</v>
      </c>
      <c r="P113" s="68">
        <v>48145</v>
      </c>
      <c r="Q113" s="68">
        <v>0</v>
      </c>
      <c r="R113" s="68">
        <v>48145</v>
      </c>
      <c r="S113" s="68">
        <f t="shared" si="109"/>
        <v>48145</v>
      </c>
      <c r="T113" s="63"/>
      <c r="U113" s="347" t="s">
        <v>289</v>
      </c>
      <c r="V113" s="370">
        <v>5003.8599999999997</v>
      </c>
      <c r="W113" s="370">
        <v>0</v>
      </c>
      <c r="X113" s="370">
        <v>0</v>
      </c>
      <c r="Y113" s="68">
        <f t="shared" si="110"/>
        <v>5003.8599999999997</v>
      </c>
      <c r="Z113" s="345"/>
      <c r="AA113" s="347"/>
      <c r="AB113" s="345"/>
      <c r="AC113" s="345"/>
      <c r="AD113" s="345"/>
      <c r="AE113" s="68">
        <f t="shared" si="111"/>
        <v>0</v>
      </c>
      <c r="AF113" s="366" t="s">
        <v>1097</v>
      </c>
      <c r="AG113" s="358"/>
      <c r="AH113" s="359"/>
      <c r="AI113" s="360"/>
      <c r="AJ113" s="360"/>
      <c r="AK113" s="360" t="str">
        <f t="shared" si="112"/>
        <v/>
      </c>
      <c r="AL113" s="18"/>
      <c r="AM113" s="360" t="str">
        <f t="shared" si="113"/>
        <v>2</v>
      </c>
      <c r="AN113" s="360" t="str">
        <f t="shared" si="114"/>
        <v>1</v>
      </c>
      <c r="AO113" s="360"/>
      <c r="AP113" s="346" t="str">
        <f t="shared" si="115"/>
        <v>1</v>
      </c>
      <c r="AQ113" s="360" t="str">
        <f t="shared" si="116"/>
        <v>2.1..1</v>
      </c>
      <c r="AR113" s="530"/>
      <c r="AS113" s="360"/>
      <c r="AT113" s="362"/>
      <c r="AU113" s="362"/>
      <c r="AV113" s="362"/>
      <c r="AW113" s="362"/>
      <c r="AX113" s="362"/>
      <c r="AY113" s="362"/>
      <c r="AZ113" s="362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</row>
    <row r="114" spans="1:68" ht="20.25" customHeight="1">
      <c r="A114" s="100">
        <v>15</v>
      </c>
      <c r="B114" s="100" t="s">
        <v>38</v>
      </c>
      <c r="C114" s="363">
        <v>45092</v>
      </c>
      <c r="D114" s="102" t="s">
        <v>290</v>
      </c>
      <c r="E114" s="100" t="str">
        <f t="shared" si="0"/>
        <v>Sama</v>
      </c>
      <c r="F114" s="63">
        <f t="shared" si="106"/>
        <v>103</v>
      </c>
      <c r="G114" s="63">
        <v>9</v>
      </c>
      <c r="H114" s="62" t="s">
        <v>38</v>
      </c>
      <c r="I114" s="62" t="s">
        <v>290</v>
      </c>
      <c r="J114" s="66">
        <v>7818.8543339398757</v>
      </c>
      <c r="K114" s="533" t="s">
        <v>104</v>
      </c>
      <c r="L114" s="68">
        <f t="shared" si="107"/>
        <v>54879</v>
      </c>
      <c r="M114" s="63"/>
      <c r="N114" s="365">
        <f t="shared" si="108"/>
        <v>2013</v>
      </c>
      <c r="O114" s="382" t="s">
        <v>143</v>
      </c>
      <c r="P114" s="68">
        <v>54879</v>
      </c>
      <c r="Q114" s="68">
        <v>0</v>
      </c>
      <c r="R114" s="68">
        <v>54879</v>
      </c>
      <c r="S114" s="68">
        <f t="shared" si="109"/>
        <v>54879</v>
      </c>
      <c r="T114" s="63"/>
      <c r="U114" s="347" t="s">
        <v>1238</v>
      </c>
      <c r="V114" s="370">
        <v>54879</v>
      </c>
      <c r="W114" s="370">
        <v>10000</v>
      </c>
      <c r="X114" s="370"/>
      <c r="Y114" s="68">
        <f t="shared" si="110"/>
        <v>54879</v>
      </c>
      <c r="Z114" s="345"/>
      <c r="AA114" s="347"/>
      <c r="AB114" s="345"/>
      <c r="AC114" s="345"/>
      <c r="AD114" s="345"/>
      <c r="AE114" s="68">
        <f t="shared" si="111"/>
        <v>0</v>
      </c>
      <c r="AF114" s="366">
        <v>2023</v>
      </c>
      <c r="AG114" s="358" t="s">
        <v>1090</v>
      </c>
      <c r="AH114" s="359"/>
      <c r="AI114" s="360"/>
      <c r="AJ114" s="360" t="s">
        <v>1239</v>
      </c>
      <c r="AK114" s="360" t="str">
        <f t="shared" si="112"/>
        <v/>
      </c>
      <c r="AL114" s="18"/>
      <c r="AM114" s="360" t="str">
        <f t="shared" si="113"/>
        <v>2</v>
      </c>
      <c r="AN114" s="360" t="str">
        <f t="shared" si="114"/>
        <v>1</v>
      </c>
      <c r="AO114" s="360"/>
      <c r="AP114" s="346" t="str">
        <f t="shared" si="115"/>
        <v>1</v>
      </c>
      <c r="AQ114" s="360" t="str">
        <f t="shared" si="116"/>
        <v>2.1..1</v>
      </c>
      <c r="AR114" s="530"/>
      <c r="AS114" s="360"/>
      <c r="AT114" s="362"/>
      <c r="AU114" s="362"/>
      <c r="AV114" s="362"/>
      <c r="AW114" s="362"/>
      <c r="AX114" s="362"/>
      <c r="AY114" s="362"/>
      <c r="AZ114" s="362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</row>
    <row r="115" spans="1:68" ht="20.25" customHeight="1">
      <c r="A115" s="100">
        <v>15</v>
      </c>
      <c r="B115" s="100" t="s">
        <v>38</v>
      </c>
      <c r="C115" s="363">
        <v>45122</v>
      </c>
      <c r="D115" s="102" t="s">
        <v>292</v>
      </c>
      <c r="E115" s="100" t="str">
        <f t="shared" si="0"/>
        <v>Sama</v>
      </c>
      <c r="F115" s="63">
        <f t="shared" si="106"/>
        <v>104</v>
      </c>
      <c r="G115" s="63">
        <v>10</v>
      </c>
      <c r="H115" s="62" t="s">
        <v>38</v>
      </c>
      <c r="I115" s="62" t="s">
        <v>292</v>
      </c>
      <c r="J115" s="66">
        <v>10523.333537295153</v>
      </c>
      <c r="K115" s="533" t="s">
        <v>104</v>
      </c>
      <c r="L115" s="68">
        <f t="shared" si="107"/>
        <v>17000</v>
      </c>
      <c r="M115" s="63"/>
      <c r="N115" s="365">
        <f t="shared" si="108"/>
        <v>2020</v>
      </c>
      <c r="O115" s="382" t="s">
        <v>293</v>
      </c>
      <c r="P115" s="68">
        <v>17000</v>
      </c>
      <c r="Q115" s="68">
        <v>0</v>
      </c>
      <c r="R115" s="68">
        <v>17000</v>
      </c>
      <c r="S115" s="68">
        <f t="shared" si="109"/>
        <v>17000</v>
      </c>
      <c r="T115" s="63"/>
      <c r="U115" s="347" t="s">
        <v>1241</v>
      </c>
      <c r="V115" s="370">
        <v>17000</v>
      </c>
      <c r="W115" s="370">
        <v>0</v>
      </c>
      <c r="X115" s="370">
        <v>17000</v>
      </c>
      <c r="Y115" s="68">
        <f t="shared" si="110"/>
        <v>17000</v>
      </c>
      <c r="Z115" s="345"/>
      <c r="AA115" s="347"/>
      <c r="AB115" s="345"/>
      <c r="AC115" s="345"/>
      <c r="AD115" s="345"/>
      <c r="AE115" s="68">
        <f t="shared" si="111"/>
        <v>0</v>
      </c>
      <c r="AF115" s="366">
        <v>2023</v>
      </c>
      <c r="AG115" s="358" t="s">
        <v>1090</v>
      </c>
      <c r="AH115" s="359"/>
      <c r="AI115" s="360" t="s">
        <v>1098</v>
      </c>
      <c r="AJ115" s="360" t="s">
        <v>1242</v>
      </c>
      <c r="AK115" s="360" t="str">
        <f t="shared" si="112"/>
        <v/>
      </c>
      <c r="AL115" s="18"/>
      <c r="AM115" s="360" t="str">
        <f t="shared" si="113"/>
        <v>1</v>
      </c>
      <c r="AN115" s="360" t="str">
        <f t="shared" si="114"/>
        <v>1</v>
      </c>
      <c r="AO115" s="360"/>
      <c r="AP115" s="346" t="str">
        <f t="shared" si="115"/>
        <v>1</v>
      </c>
      <c r="AQ115" s="360" t="str">
        <f t="shared" si="116"/>
        <v>1.1..1</v>
      </c>
      <c r="AR115" s="530"/>
      <c r="AS115" s="360"/>
      <c r="AT115" s="362"/>
      <c r="AU115" s="362"/>
      <c r="AV115" s="362"/>
      <c r="AW115" s="362"/>
      <c r="AX115" s="362"/>
      <c r="AY115" s="362"/>
      <c r="AZ115" s="362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</row>
    <row r="116" spans="1:68" ht="20.25" customHeight="1">
      <c r="A116" s="100">
        <v>15</v>
      </c>
      <c r="B116" s="100" t="s">
        <v>38</v>
      </c>
      <c r="C116" s="363">
        <v>45184</v>
      </c>
      <c r="D116" s="102" t="s">
        <v>294</v>
      </c>
      <c r="E116" s="100" t="str">
        <f t="shared" si="0"/>
        <v>Sama</v>
      </c>
      <c r="F116" s="63">
        <f t="shared" si="106"/>
        <v>105</v>
      </c>
      <c r="G116" s="63">
        <v>11</v>
      </c>
      <c r="H116" s="62" t="s">
        <v>38</v>
      </c>
      <c r="I116" s="62" t="s">
        <v>294</v>
      </c>
      <c r="J116" s="66">
        <v>4939.4830959302863</v>
      </c>
      <c r="K116" s="533" t="s">
        <v>104</v>
      </c>
      <c r="L116" s="68">
        <f t="shared" si="107"/>
        <v>36162</v>
      </c>
      <c r="M116" s="63"/>
      <c r="N116" s="365">
        <f t="shared" si="108"/>
        <v>2013</v>
      </c>
      <c r="O116" s="382" t="s">
        <v>1244</v>
      </c>
      <c r="P116" s="68">
        <v>36162</v>
      </c>
      <c r="Q116" s="68">
        <v>0</v>
      </c>
      <c r="R116" s="68">
        <v>36162</v>
      </c>
      <c r="S116" s="68">
        <f t="shared" si="109"/>
        <v>36162</v>
      </c>
      <c r="T116" s="63"/>
      <c r="U116" s="347" t="s">
        <v>1245</v>
      </c>
      <c r="V116" s="631" t="s">
        <v>1246</v>
      </c>
      <c r="W116" s="564"/>
      <c r="X116" s="559"/>
      <c r="Y116" s="68"/>
      <c r="Z116" s="345"/>
      <c r="AA116" s="347"/>
      <c r="AB116" s="345"/>
      <c r="AC116" s="345"/>
      <c r="AD116" s="345"/>
      <c r="AE116" s="68"/>
      <c r="AF116" s="366" t="s">
        <v>1129</v>
      </c>
      <c r="AG116" s="358" t="s">
        <v>1090</v>
      </c>
      <c r="AH116" s="359"/>
      <c r="AI116" s="360"/>
      <c r="AJ116" s="360"/>
      <c r="AK116" s="360" t="str">
        <f t="shared" si="112"/>
        <v/>
      </c>
      <c r="AL116" s="18"/>
      <c r="AM116" s="360" t="str">
        <f t="shared" si="113"/>
        <v>2</v>
      </c>
      <c r="AN116" s="360" t="str">
        <f t="shared" si="114"/>
        <v>1</v>
      </c>
      <c r="AO116" s="360"/>
      <c r="AP116" s="346" t="str">
        <f t="shared" si="115"/>
        <v>2</v>
      </c>
      <c r="AQ116" s="360" t="str">
        <f t="shared" si="116"/>
        <v>2.1..2</v>
      </c>
      <c r="AR116" s="530"/>
      <c r="AS116" s="360"/>
      <c r="AT116" s="362"/>
      <c r="AU116" s="362"/>
      <c r="AV116" s="362"/>
      <c r="AW116" s="362"/>
      <c r="AX116" s="362"/>
      <c r="AY116" s="362"/>
      <c r="AZ116" s="362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</row>
    <row r="117" spans="1:68" ht="20.25" customHeight="1">
      <c r="A117" s="100">
        <v>17</v>
      </c>
      <c r="B117" s="100" t="s">
        <v>40</v>
      </c>
      <c r="C117" s="100">
        <v>17</v>
      </c>
      <c r="D117" s="102" t="s">
        <v>1984</v>
      </c>
      <c r="E117" s="100" t="str">
        <f t="shared" si="0"/>
        <v>Sama</v>
      </c>
      <c r="F117" s="63"/>
      <c r="G117" s="341"/>
      <c r="H117" s="379"/>
      <c r="I117" s="379" t="s">
        <v>1984</v>
      </c>
      <c r="J117" s="380">
        <f>SUM(J118:J127)</f>
        <v>50840.211425318106</v>
      </c>
      <c r="K117" s="353">
        <f>COUNTIF(K118:K127,"D") + COUNTIF(K118:K127,"DS")</f>
        <v>7</v>
      </c>
      <c r="L117" s="383">
        <f>SUBTOTAL(9,L118:L127)</f>
        <v>35350.21</v>
      </c>
      <c r="M117" s="342">
        <f>COUNTIF(M140:M145,$M$96)</f>
        <v>1</v>
      </c>
      <c r="N117" s="355"/>
      <c r="O117" s="356"/>
      <c r="P117" s="383">
        <f>SUBTOTAL(9,P118:P127)</f>
        <v>8689.59</v>
      </c>
      <c r="Q117" s="383">
        <f t="shared" ref="Q117:S117" si="117">SUBTOTAL(9,Q119:Q124)</f>
        <v>0</v>
      </c>
      <c r="R117" s="383">
        <f t="shared" si="117"/>
        <v>11043.59</v>
      </c>
      <c r="S117" s="383">
        <f t="shared" si="117"/>
        <v>11043.59</v>
      </c>
      <c r="T117" s="342"/>
      <c r="U117" s="351"/>
      <c r="V117" s="384">
        <v>22016.48</v>
      </c>
      <c r="W117" s="384">
        <v>1891.92</v>
      </c>
      <c r="X117" s="384">
        <v>6615</v>
      </c>
      <c r="Y117" s="383">
        <f>SUBTOTAL(9,Y119:Y124)</f>
        <v>22016.48</v>
      </c>
      <c r="Z117" s="337">
        <v>2</v>
      </c>
      <c r="AA117" s="351">
        <v>2</v>
      </c>
      <c r="AB117" s="337">
        <v>22016.48</v>
      </c>
      <c r="AC117" s="337">
        <v>1891.92</v>
      </c>
      <c r="AD117" s="337">
        <v>6615</v>
      </c>
      <c r="AE117" s="383">
        <f>SUBTOTAL(9,AE119:AE124)</f>
        <v>6305</v>
      </c>
      <c r="AF117" s="357" t="s">
        <v>1138</v>
      </c>
      <c r="AG117" s="358"/>
      <c r="AH117" s="359"/>
      <c r="AI117" s="360"/>
      <c r="AJ117" s="360"/>
      <c r="AK117" s="361">
        <f>COUNTIF(AK118:AK127,"V") + COUNTIF(AK118:AK127,"VV") + COUNTIF(AK118:AK127,"VVV")</f>
        <v>6</v>
      </c>
      <c r="AL117" s="18"/>
      <c r="AM117" s="360"/>
      <c r="AN117" s="360"/>
      <c r="AO117" s="360"/>
      <c r="AP117" s="346"/>
      <c r="AQ117" s="360"/>
      <c r="AR117" s="530"/>
      <c r="AS117" s="360"/>
      <c r="AT117" s="362"/>
      <c r="AU117" s="362"/>
      <c r="AV117" s="362"/>
      <c r="AW117" s="362"/>
      <c r="AX117" s="362"/>
      <c r="AY117" s="362"/>
      <c r="AZ117" s="362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</row>
    <row r="118" spans="1:68" ht="20.25" customHeight="1">
      <c r="A118" s="100">
        <v>17</v>
      </c>
      <c r="B118" s="100" t="s">
        <v>40</v>
      </c>
      <c r="C118" s="363">
        <v>44943</v>
      </c>
      <c r="D118" s="102" t="s">
        <v>295</v>
      </c>
      <c r="E118" s="100" t="str">
        <f t="shared" si="0"/>
        <v>Sama</v>
      </c>
      <c r="F118" s="63">
        <f t="shared" ref="F118:F126" si="118">SUBTOTAL(3,$G$7:G118)</f>
        <v>106</v>
      </c>
      <c r="G118" s="63">
        <v>1</v>
      </c>
      <c r="H118" s="64" t="s">
        <v>40</v>
      </c>
      <c r="I118" s="64" t="s">
        <v>295</v>
      </c>
      <c r="J118" s="396">
        <v>8329.3106324087821</v>
      </c>
      <c r="K118" s="533" t="s">
        <v>123</v>
      </c>
      <c r="L118" s="68">
        <f t="shared" ref="L118:L119" si="119">IF(S118&gt;0,S118,IF(Y118&gt;0,Y118,IF(AE118&gt;0,AE118,0)))</f>
        <v>0</v>
      </c>
      <c r="M118" s="387"/>
      <c r="N118" s="365">
        <f t="shared" ref="N118:N127" si="120">VALUE(RIGHT(O118,4))</f>
        <v>2011</v>
      </c>
      <c r="O118" s="347" t="s">
        <v>1278</v>
      </c>
      <c r="P118" s="390"/>
      <c r="Q118" s="390"/>
      <c r="R118" s="390"/>
      <c r="S118" s="68">
        <f t="shared" ref="S118:S127" si="121">IF(R118&gt;0,R118,IF(P118&gt;0,P118,0))</f>
        <v>0</v>
      </c>
      <c r="T118" s="387"/>
      <c r="U118" s="389"/>
      <c r="V118" s="390"/>
      <c r="W118" s="390"/>
      <c r="X118" s="390"/>
      <c r="Y118" s="68">
        <f t="shared" ref="Y118:Y127" si="122">IF(X118&gt;0,X118,IF(V118&gt;0,V118,0))</f>
        <v>0</v>
      </c>
      <c r="Z118" s="391"/>
      <c r="AA118" s="389"/>
      <c r="AB118" s="391"/>
      <c r="AC118" s="391"/>
      <c r="AD118" s="391"/>
      <c r="AE118" s="68">
        <f t="shared" ref="AE118:AE127" si="123">IF(AD118&gt;0,AD118,IF(AB118&gt;0,AB118,0))</f>
        <v>0</v>
      </c>
      <c r="AF118" s="366">
        <v>2023</v>
      </c>
      <c r="AG118" s="358" t="s">
        <v>1090</v>
      </c>
      <c r="AH118" s="359"/>
      <c r="AI118" s="360"/>
      <c r="AJ118" s="360" t="s">
        <v>1279</v>
      </c>
      <c r="AK118" s="360" t="str">
        <f t="shared" ref="AK118:AK127" si="124">CONCATENATE(M118,T118,Z118)</f>
        <v/>
      </c>
      <c r="AL118" s="18"/>
      <c r="AM118" s="360" t="str">
        <f t="shared" ref="AM118:AM127" si="125">IF(N118=0,"3",IF(N118&lt;=2018,"2","1"))</f>
        <v>2</v>
      </c>
      <c r="AN118" s="360" t="str">
        <f t="shared" ref="AN118:AN127" si="126">IF(S118&gt;0,"1","2")</f>
        <v>2</v>
      </c>
      <c r="AO118" s="360"/>
      <c r="AP118" s="346" t="str">
        <f t="shared" ref="AP118:AP127" si="127">IF(Y118&gt;0,"1",IF(AE118&gt;0,"1","2"))</f>
        <v>2</v>
      </c>
      <c r="AQ118" s="360" t="str">
        <f t="shared" ref="AQ118:AQ127" si="128">CONCATENATE(AM118,".",AN118,".",AO118,".",AP118)</f>
        <v>2.2..2</v>
      </c>
      <c r="AR118" s="530"/>
      <c r="AS118" s="360"/>
      <c r="AT118" s="362"/>
      <c r="AU118" s="362"/>
      <c r="AV118" s="362"/>
      <c r="AW118" s="362"/>
      <c r="AX118" s="362"/>
      <c r="AY118" s="362"/>
      <c r="AZ118" s="362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</row>
    <row r="119" spans="1:68" ht="20.25" customHeight="1">
      <c r="A119" s="100">
        <v>17</v>
      </c>
      <c r="B119" s="100" t="s">
        <v>40</v>
      </c>
      <c r="C119" s="363">
        <v>45186</v>
      </c>
      <c r="D119" s="102" t="s">
        <v>296</v>
      </c>
      <c r="E119" s="100" t="str">
        <f t="shared" si="0"/>
        <v>Sama</v>
      </c>
      <c r="F119" s="63">
        <f t="shared" si="118"/>
        <v>107</v>
      </c>
      <c r="G119" s="63">
        <v>2</v>
      </c>
      <c r="H119" s="64" t="s">
        <v>40</v>
      </c>
      <c r="I119" s="64" t="s">
        <v>296</v>
      </c>
      <c r="J119" s="84">
        <v>2187.8853890418682</v>
      </c>
      <c r="K119" s="533" t="s">
        <v>104</v>
      </c>
      <c r="L119" s="68">
        <f t="shared" si="119"/>
        <v>6615</v>
      </c>
      <c r="M119" s="63"/>
      <c r="N119" s="365" t="e">
        <f t="shared" si="120"/>
        <v>#VALUE!</v>
      </c>
      <c r="O119" s="382"/>
      <c r="P119" s="68"/>
      <c r="Q119" s="68"/>
      <c r="R119" s="68"/>
      <c r="S119" s="68">
        <f t="shared" si="121"/>
        <v>0</v>
      </c>
      <c r="T119" s="63"/>
      <c r="U119" s="347" t="s">
        <v>297</v>
      </c>
      <c r="V119" s="370">
        <v>6615</v>
      </c>
      <c r="W119" s="370">
        <v>0</v>
      </c>
      <c r="X119" s="370">
        <v>6615</v>
      </c>
      <c r="Y119" s="68">
        <f t="shared" si="122"/>
        <v>6615</v>
      </c>
      <c r="Z119" s="345"/>
      <c r="AA119" s="347"/>
      <c r="AB119" s="345"/>
      <c r="AC119" s="345"/>
      <c r="AD119" s="345"/>
      <c r="AE119" s="68">
        <f t="shared" si="123"/>
        <v>0</v>
      </c>
      <c r="AF119" s="366" t="s">
        <v>1129</v>
      </c>
      <c r="AG119" s="358" t="s">
        <v>1090</v>
      </c>
      <c r="AH119" s="359"/>
      <c r="AI119" s="360"/>
      <c r="AJ119" s="360" t="s">
        <v>1281</v>
      </c>
      <c r="AK119" s="360" t="str">
        <f t="shared" si="124"/>
        <v/>
      </c>
      <c r="AL119" s="18"/>
      <c r="AM119" s="360" t="e">
        <f t="shared" si="125"/>
        <v>#VALUE!</v>
      </c>
      <c r="AN119" s="360" t="str">
        <f t="shared" si="126"/>
        <v>2</v>
      </c>
      <c r="AO119" s="360"/>
      <c r="AP119" s="346" t="str">
        <f t="shared" si="127"/>
        <v>1</v>
      </c>
      <c r="AQ119" s="360" t="e">
        <f t="shared" si="128"/>
        <v>#VALUE!</v>
      </c>
      <c r="AR119" s="530"/>
      <c r="AS119" s="360"/>
      <c r="AT119" s="362"/>
      <c r="AU119" s="362"/>
      <c r="AV119" s="362"/>
      <c r="AW119" s="362"/>
      <c r="AX119" s="362"/>
      <c r="AY119" s="362"/>
      <c r="AZ119" s="362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</row>
    <row r="120" spans="1:68" ht="20.25" customHeight="1">
      <c r="A120" s="100">
        <v>17</v>
      </c>
      <c r="B120" s="100" t="s">
        <v>40</v>
      </c>
      <c r="C120" s="363">
        <v>45002</v>
      </c>
      <c r="D120" s="102" t="s">
        <v>298</v>
      </c>
      <c r="E120" s="100" t="str">
        <f t="shared" si="0"/>
        <v>Sama</v>
      </c>
      <c r="F120" s="63">
        <f t="shared" si="118"/>
        <v>108</v>
      </c>
      <c r="G120" s="63">
        <v>3</v>
      </c>
      <c r="H120" s="64" t="s">
        <v>40</v>
      </c>
      <c r="I120" s="64" t="s">
        <v>298</v>
      </c>
      <c r="J120" s="84">
        <v>4591.9380982396933</v>
      </c>
      <c r="K120" s="533" t="s">
        <v>91</v>
      </c>
      <c r="L120" s="68">
        <f>AE120</f>
        <v>3464</v>
      </c>
      <c r="M120" s="63"/>
      <c r="N120" s="365">
        <f t="shared" si="120"/>
        <v>2015</v>
      </c>
      <c r="O120" s="382" t="s">
        <v>1283</v>
      </c>
      <c r="P120" s="68">
        <v>2298.59</v>
      </c>
      <c r="Q120" s="68">
        <v>0</v>
      </c>
      <c r="R120" s="68">
        <v>2298.59</v>
      </c>
      <c r="S120" s="68">
        <f t="shared" si="121"/>
        <v>2298.59</v>
      </c>
      <c r="T120" s="63"/>
      <c r="U120" s="347"/>
      <c r="V120" s="370"/>
      <c r="W120" s="370"/>
      <c r="X120" s="370"/>
      <c r="Y120" s="68">
        <f t="shared" si="122"/>
        <v>0</v>
      </c>
      <c r="Z120" s="345" t="s">
        <v>1076</v>
      </c>
      <c r="AA120" s="347" t="s">
        <v>299</v>
      </c>
      <c r="AB120" s="345">
        <v>3463.96</v>
      </c>
      <c r="AC120" s="345">
        <v>0</v>
      </c>
      <c r="AD120" s="345">
        <v>3464</v>
      </c>
      <c r="AE120" s="68">
        <f t="shared" si="123"/>
        <v>3464</v>
      </c>
      <c r="AF120" s="364">
        <v>2023</v>
      </c>
      <c r="AG120" s="344" t="s">
        <v>1090</v>
      </c>
      <c r="AH120" s="84"/>
      <c r="AI120" s="63"/>
      <c r="AJ120" s="63"/>
      <c r="AK120" s="63" t="str">
        <f t="shared" si="124"/>
        <v>V</v>
      </c>
      <c r="AL120" s="47"/>
      <c r="AM120" s="63" t="str">
        <f t="shared" si="125"/>
        <v>2</v>
      </c>
      <c r="AN120" s="63" t="str">
        <f t="shared" si="126"/>
        <v>1</v>
      </c>
      <c r="AO120" s="63"/>
      <c r="AP120" s="346" t="str">
        <f t="shared" si="127"/>
        <v>1</v>
      </c>
      <c r="AQ120" s="63" t="str">
        <f t="shared" si="128"/>
        <v>2.1..1</v>
      </c>
      <c r="AR120" s="534"/>
      <c r="AS120" s="347"/>
      <c r="AT120" s="95"/>
      <c r="AU120" s="95"/>
      <c r="AV120" s="371" t="e">
        <f t="shared" ref="AV120:AV125" si="129">AU120/AT120</f>
        <v>#DIV/0!</v>
      </c>
      <c r="AW120" s="95"/>
      <c r="AX120" s="371" t="e">
        <f t="shared" ref="AX120:AX125" si="130">AW120/AT120</f>
        <v>#DIV/0!</v>
      </c>
      <c r="AY120" s="95"/>
      <c r="AZ120" s="371" t="e">
        <f t="shared" ref="AZ120:AZ125" si="131">AY120/AT120</f>
        <v>#DIV/0!</v>
      </c>
      <c r="BA120" s="47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</row>
    <row r="121" spans="1:68" ht="20.25" customHeight="1">
      <c r="A121" s="100">
        <v>17</v>
      </c>
      <c r="B121" s="100" t="s">
        <v>40</v>
      </c>
      <c r="C121" s="363">
        <v>45033</v>
      </c>
      <c r="D121" s="102" t="s">
        <v>300</v>
      </c>
      <c r="E121" s="100" t="str">
        <f t="shared" si="0"/>
        <v>Sama</v>
      </c>
      <c r="F121" s="63">
        <f t="shared" si="118"/>
        <v>109</v>
      </c>
      <c r="G121" s="63">
        <v>4</v>
      </c>
      <c r="H121" s="64" t="s">
        <v>40</v>
      </c>
      <c r="I121" s="64" t="s">
        <v>300</v>
      </c>
      <c r="J121" s="84">
        <v>6116.4050620521712</v>
      </c>
      <c r="K121" s="533" t="s">
        <v>91</v>
      </c>
      <c r="L121" s="68">
        <f t="shared" ref="L121:L127" si="132">IF(S121&gt;0,S121,IF(Y121&gt;0,Y121,IF(AE121&gt;0,AE121,0)))</f>
        <v>8283</v>
      </c>
      <c r="M121" s="63" t="s">
        <v>1076</v>
      </c>
      <c r="N121" s="365">
        <f t="shared" si="120"/>
        <v>2021</v>
      </c>
      <c r="O121" s="347" t="s">
        <v>243</v>
      </c>
      <c r="P121" s="370">
        <v>6391</v>
      </c>
      <c r="Q121" s="370">
        <v>0</v>
      </c>
      <c r="R121" s="370">
        <v>8283</v>
      </c>
      <c r="S121" s="68">
        <f t="shared" si="121"/>
        <v>8283</v>
      </c>
      <c r="T121" s="63" t="s">
        <v>1076</v>
      </c>
      <c r="U121" s="347" t="s">
        <v>470</v>
      </c>
      <c r="V121" s="370">
        <v>6391.27</v>
      </c>
      <c r="W121" s="370">
        <v>1891.92</v>
      </c>
      <c r="X121" s="370"/>
      <c r="Y121" s="68">
        <f t="shared" si="122"/>
        <v>6391.27</v>
      </c>
      <c r="Z121" s="345"/>
      <c r="AA121" s="347"/>
      <c r="AB121" s="345"/>
      <c r="AC121" s="345"/>
      <c r="AD121" s="345"/>
      <c r="AE121" s="68">
        <f t="shared" si="123"/>
        <v>0</v>
      </c>
      <c r="AF121" s="366">
        <v>2020</v>
      </c>
      <c r="AG121" s="358"/>
      <c r="AH121" s="359"/>
      <c r="AI121" s="360"/>
      <c r="AJ121" s="360"/>
      <c r="AK121" s="360" t="str">
        <f t="shared" si="124"/>
        <v>VV</v>
      </c>
      <c r="AL121" s="18"/>
      <c r="AM121" s="360" t="str">
        <f t="shared" si="125"/>
        <v>1</v>
      </c>
      <c r="AN121" s="360" t="str">
        <f t="shared" si="126"/>
        <v>1</v>
      </c>
      <c r="AO121" s="360"/>
      <c r="AP121" s="346" t="str">
        <f t="shared" si="127"/>
        <v>1</v>
      </c>
      <c r="AQ121" s="360" t="str">
        <f t="shared" si="128"/>
        <v>1.1..1</v>
      </c>
      <c r="AR121" s="530"/>
      <c r="AS121" s="362" t="s">
        <v>243</v>
      </c>
      <c r="AT121" s="367">
        <v>6116</v>
      </c>
      <c r="AU121" s="367">
        <v>8282</v>
      </c>
      <c r="AV121" s="368">
        <f t="shared" si="129"/>
        <v>1.3541530412034009</v>
      </c>
      <c r="AW121" s="367">
        <v>6017</v>
      </c>
      <c r="AX121" s="368">
        <f t="shared" si="130"/>
        <v>0.98381294964028776</v>
      </c>
      <c r="AY121" s="362">
        <v>100</v>
      </c>
      <c r="AZ121" s="368">
        <f t="shared" si="131"/>
        <v>1.6350555918901243E-2</v>
      </c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</row>
    <row r="122" spans="1:68" ht="20.25" customHeight="1">
      <c r="A122" s="100">
        <v>17</v>
      </c>
      <c r="B122" s="100" t="s">
        <v>40</v>
      </c>
      <c r="C122" s="363">
        <v>45155</v>
      </c>
      <c r="D122" s="102" t="s">
        <v>301</v>
      </c>
      <c r="E122" s="100" t="str">
        <f t="shared" si="0"/>
        <v>Sama</v>
      </c>
      <c r="F122" s="63">
        <f t="shared" si="118"/>
        <v>110</v>
      </c>
      <c r="G122" s="63">
        <v>5</v>
      </c>
      <c r="H122" s="64" t="s">
        <v>40</v>
      </c>
      <c r="I122" s="64" t="s">
        <v>301</v>
      </c>
      <c r="J122" s="84">
        <v>3344.564602945627</v>
      </c>
      <c r="K122" s="533" t="s">
        <v>91</v>
      </c>
      <c r="L122" s="68">
        <f t="shared" si="132"/>
        <v>2841</v>
      </c>
      <c r="M122" s="63"/>
      <c r="N122" s="365">
        <f t="shared" si="120"/>
        <v>2012</v>
      </c>
      <c r="O122" s="347" t="s">
        <v>223</v>
      </c>
      <c r="P122" s="370"/>
      <c r="Q122" s="370"/>
      <c r="R122" s="370"/>
      <c r="S122" s="68">
        <f t="shared" si="121"/>
        <v>0</v>
      </c>
      <c r="T122" s="63"/>
      <c r="U122" s="347"/>
      <c r="V122" s="370"/>
      <c r="W122" s="370"/>
      <c r="X122" s="370"/>
      <c r="Y122" s="68">
        <f t="shared" si="122"/>
        <v>0</v>
      </c>
      <c r="Z122" s="345" t="s">
        <v>1076</v>
      </c>
      <c r="AA122" s="347" t="s">
        <v>302</v>
      </c>
      <c r="AB122" s="345">
        <v>2841</v>
      </c>
      <c r="AC122" s="345"/>
      <c r="AD122" s="345">
        <v>2841</v>
      </c>
      <c r="AE122" s="68">
        <f t="shared" si="123"/>
        <v>2841</v>
      </c>
      <c r="AF122" s="364" t="s">
        <v>1097</v>
      </c>
      <c r="AG122" s="344"/>
      <c r="AH122" s="84"/>
      <c r="AI122" s="63"/>
      <c r="AJ122" s="63"/>
      <c r="AK122" s="63" t="str">
        <f t="shared" si="124"/>
        <v>V</v>
      </c>
      <c r="AL122" s="47"/>
      <c r="AM122" s="63" t="str">
        <f t="shared" si="125"/>
        <v>2</v>
      </c>
      <c r="AN122" s="63" t="str">
        <f t="shared" si="126"/>
        <v>2</v>
      </c>
      <c r="AO122" s="63"/>
      <c r="AP122" s="346" t="str">
        <f t="shared" si="127"/>
        <v>1</v>
      </c>
      <c r="AQ122" s="63" t="str">
        <f t="shared" si="128"/>
        <v>2.2..1</v>
      </c>
      <c r="AR122" s="534"/>
      <c r="AS122" s="347"/>
      <c r="AT122" s="95"/>
      <c r="AU122" s="95"/>
      <c r="AV122" s="371" t="e">
        <f t="shared" si="129"/>
        <v>#DIV/0!</v>
      </c>
      <c r="AW122" s="95"/>
      <c r="AX122" s="371" t="e">
        <f t="shared" si="130"/>
        <v>#DIV/0!</v>
      </c>
      <c r="AY122" s="95"/>
      <c r="AZ122" s="371" t="e">
        <f t="shared" si="131"/>
        <v>#DIV/0!</v>
      </c>
      <c r="BA122" s="47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</row>
    <row r="123" spans="1:68" ht="20.25" customHeight="1">
      <c r="A123" s="100">
        <v>17</v>
      </c>
      <c r="B123" s="100" t="s">
        <v>40</v>
      </c>
      <c r="C123" s="100" t="s">
        <v>1985</v>
      </c>
      <c r="D123" s="102" t="s">
        <v>303</v>
      </c>
      <c r="E123" s="100" t="str">
        <f t="shared" si="0"/>
        <v>Sama</v>
      </c>
      <c r="F123" s="63">
        <f t="shared" si="118"/>
        <v>111</v>
      </c>
      <c r="G123" s="63">
        <v>6</v>
      </c>
      <c r="H123" s="64" t="s">
        <v>40</v>
      </c>
      <c r="I123" s="62" t="s">
        <v>303</v>
      </c>
      <c r="J123" s="66">
        <v>580.00379746961005</v>
      </c>
      <c r="K123" s="533" t="s">
        <v>91</v>
      </c>
      <c r="L123" s="68">
        <f t="shared" si="132"/>
        <v>462</v>
      </c>
      <c r="M123" s="63" t="s">
        <v>1076</v>
      </c>
      <c r="N123" s="365">
        <f t="shared" si="120"/>
        <v>2021</v>
      </c>
      <c r="O123" s="347" t="s">
        <v>304</v>
      </c>
      <c r="P123" s="370">
        <v>0</v>
      </c>
      <c r="Q123" s="370">
        <v>0</v>
      </c>
      <c r="R123" s="370">
        <v>462</v>
      </c>
      <c r="S123" s="68">
        <f t="shared" si="121"/>
        <v>462</v>
      </c>
      <c r="T123" s="63"/>
      <c r="U123" s="347"/>
      <c r="V123" s="370"/>
      <c r="W123" s="370"/>
      <c r="X123" s="370"/>
      <c r="Y123" s="68">
        <f t="shared" si="122"/>
        <v>0</v>
      </c>
      <c r="Z123" s="345"/>
      <c r="AA123" s="347"/>
      <c r="AB123" s="345"/>
      <c r="AC123" s="345"/>
      <c r="AD123" s="345"/>
      <c r="AE123" s="68">
        <f t="shared" si="123"/>
        <v>0</v>
      </c>
      <c r="AF123" s="364" t="s">
        <v>1097</v>
      </c>
      <c r="AG123" s="344"/>
      <c r="AH123" s="84"/>
      <c r="AI123" s="63"/>
      <c r="AJ123" s="63" t="s">
        <v>1287</v>
      </c>
      <c r="AK123" s="63" t="str">
        <f t="shared" si="124"/>
        <v>V</v>
      </c>
      <c r="AL123" s="47"/>
      <c r="AM123" s="63" t="str">
        <f t="shared" si="125"/>
        <v>1</v>
      </c>
      <c r="AN123" s="63" t="str">
        <f t="shared" si="126"/>
        <v>1</v>
      </c>
      <c r="AO123" s="63"/>
      <c r="AP123" s="346" t="str">
        <f t="shared" si="127"/>
        <v>2</v>
      </c>
      <c r="AQ123" s="63" t="str">
        <f t="shared" si="128"/>
        <v>1.1..2</v>
      </c>
      <c r="AR123" s="534"/>
      <c r="AS123" s="347"/>
      <c r="AT123" s="95"/>
      <c r="AU123" s="95"/>
      <c r="AV123" s="371" t="e">
        <f t="shared" si="129"/>
        <v>#DIV/0!</v>
      </c>
      <c r="AW123" s="95"/>
      <c r="AX123" s="371" t="e">
        <f t="shared" si="130"/>
        <v>#DIV/0!</v>
      </c>
      <c r="AY123" s="95"/>
      <c r="AZ123" s="371" t="e">
        <f t="shared" si="131"/>
        <v>#DIV/0!</v>
      </c>
      <c r="BA123" s="47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</row>
    <row r="124" spans="1:68" ht="20.25" customHeight="1">
      <c r="A124" s="100">
        <v>17</v>
      </c>
      <c r="B124" s="100" t="s">
        <v>40</v>
      </c>
      <c r="C124" s="363">
        <v>45124</v>
      </c>
      <c r="D124" s="102" t="s">
        <v>305</v>
      </c>
      <c r="E124" s="100" t="str">
        <f t="shared" si="0"/>
        <v>Sama</v>
      </c>
      <c r="F124" s="63">
        <f t="shared" si="118"/>
        <v>112</v>
      </c>
      <c r="G124" s="63">
        <v>7</v>
      </c>
      <c r="H124" s="64" t="s">
        <v>40</v>
      </c>
      <c r="I124" s="62" t="s">
        <v>305</v>
      </c>
      <c r="J124" s="66">
        <v>8479.4587555665312</v>
      </c>
      <c r="K124" s="533" t="s">
        <v>91</v>
      </c>
      <c r="L124" s="68">
        <f t="shared" si="132"/>
        <v>9010.2099999999991</v>
      </c>
      <c r="M124" s="63"/>
      <c r="N124" s="365">
        <f t="shared" si="120"/>
        <v>2012</v>
      </c>
      <c r="O124" s="382" t="s">
        <v>527</v>
      </c>
      <c r="P124" s="68"/>
      <c r="Q124" s="68"/>
      <c r="R124" s="68"/>
      <c r="S124" s="68">
        <f t="shared" si="121"/>
        <v>0</v>
      </c>
      <c r="T124" s="63" t="s">
        <v>1076</v>
      </c>
      <c r="U124" s="347" t="s">
        <v>265</v>
      </c>
      <c r="V124" s="370">
        <v>9010.2099999999991</v>
      </c>
      <c r="W124" s="370"/>
      <c r="X124" s="370"/>
      <c r="Y124" s="68">
        <f t="shared" si="122"/>
        <v>9010.2099999999991</v>
      </c>
      <c r="Z124" s="345"/>
      <c r="AA124" s="347"/>
      <c r="AB124" s="345"/>
      <c r="AC124" s="345"/>
      <c r="AD124" s="345"/>
      <c r="AE124" s="68">
        <f t="shared" si="123"/>
        <v>0</v>
      </c>
      <c r="AF124" s="366">
        <v>2020</v>
      </c>
      <c r="AG124" s="358"/>
      <c r="AH124" s="359"/>
      <c r="AI124" s="360"/>
      <c r="AJ124" s="360"/>
      <c r="AK124" s="360" t="str">
        <f t="shared" si="124"/>
        <v>V</v>
      </c>
      <c r="AL124" s="18"/>
      <c r="AM124" s="360" t="str">
        <f t="shared" si="125"/>
        <v>2</v>
      </c>
      <c r="AN124" s="360" t="str">
        <f t="shared" si="126"/>
        <v>2</v>
      </c>
      <c r="AO124" s="360"/>
      <c r="AP124" s="346" t="str">
        <f t="shared" si="127"/>
        <v>1</v>
      </c>
      <c r="AQ124" s="360" t="str">
        <f t="shared" si="128"/>
        <v>2.2..1</v>
      </c>
      <c r="AR124" s="530"/>
      <c r="AS124" s="362" t="s">
        <v>265</v>
      </c>
      <c r="AT124" s="367">
        <v>8479</v>
      </c>
      <c r="AU124" s="367">
        <v>8479</v>
      </c>
      <c r="AV124" s="368">
        <f t="shared" si="129"/>
        <v>1</v>
      </c>
      <c r="AW124" s="367">
        <v>8479</v>
      </c>
      <c r="AX124" s="368">
        <f t="shared" si="130"/>
        <v>1</v>
      </c>
      <c r="AY124" s="362">
        <v>0</v>
      </c>
      <c r="AZ124" s="368">
        <f t="shared" si="131"/>
        <v>0</v>
      </c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</row>
    <row r="125" spans="1:68" ht="20.25" customHeight="1">
      <c r="A125" s="100">
        <v>17</v>
      </c>
      <c r="B125" s="100" t="s">
        <v>40</v>
      </c>
      <c r="C125" s="363">
        <v>45094</v>
      </c>
      <c r="D125" s="102" t="s">
        <v>1986</v>
      </c>
      <c r="E125" s="100" t="str">
        <f t="shared" si="0"/>
        <v>Beda</v>
      </c>
      <c r="F125" s="63">
        <f t="shared" si="118"/>
        <v>113</v>
      </c>
      <c r="G125" s="63">
        <v>8</v>
      </c>
      <c r="H125" s="64" t="s">
        <v>40</v>
      </c>
      <c r="I125" s="62" t="s">
        <v>1987</v>
      </c>
      <c r="J125" s="66">
        <v>3391.9151384733791</v>
      </c>
      <c r="K125" s="533" t="s">
        <v>91</v>
      </c>
      <c r="L125" s="68">
        <f t="shared" si="132"/>
        <v>4675</v>
      </c>
      <c r="M125" s="63"/>
      <c r="N125" s="365">
        <f t="shared" si="120"/>
        <v>2012</v>
      </c>
      <c r="O125" s="382" t="s">
        <v>843</v>
      </c>
      <c r="P125" s="68"/>
      <c r="Q125" s="68"/>
      <c r="R125" s="68"/>
      <c r="S125" s="68">
        <f t="shared" si="121"/>
        <v>0</v>
      </c>
      <c r="T125" s="63" t="s">
        <v>1076</v>
      </c>
      <c r="U125" s="347" t="s">
        <v>307</v>
      </c>
      <c r="V125" s="370">
        <v>4675</v>
      </c>
      <c r="W125" s="370"/>
      <c r="X125" s="370">
        <v>4675</v>
      </c>
      <c r="Y125" s="68">
        <f t="shared" si="122"/>
        <v>4675</v>
      </c>
      <c r="Z125" s="345"/>
      <c r="AA125" s="347"/>
      <c r="AB125" s="345"/>
      <c r="AC125" s="345"/>
      <c r="AD125" s="345"/>
      <c r="AE125" s="68">
        <f t="shared" si="123"/>
        <v>0</v>
      </c>
      <c r="AF125" s="364" t="s">
        <v>1097</v>
      </c>
      <c r="AG125" s="344"/>
      <c r="AH125" s="84"/>
      <c r="AI125" s="63"/>
      <c r="AJ125" s="63"/>
      <c r="AK125" s="63" t="str">
        <f t="shared" si="124"/>
        <v>V</v>
      </c>
      <c r="AL125" s="47" t="s">
        <v>1290</v>
      </c>
      <c r="AM125" s="63" t="str">
        <f t="shared" si="125"/>
        <v>2</v>
      </c>
      <c r="AN125" s="63" t="str">
        <f t="shared" si="126"/>
        <v>2</v>
      </c>
      <c r="AO125" s="63"/>
      <c r="AP125" s="346" t="str">
        <f t="shared" si="127"/>
        <v>1</v>
      </c>
      <c r="AQ125" s="63" t="str">
        <f t="shared" si="128"/>
        <v>2.2..1</v>
      </c>
      <c r="AR125" s="534"/>
      <c r="AS125" s="347"/>
      <c r="AT125" s="95"/>
      <c r="AU125" s="95"/>
      <c r="AV125" s="371" t="e">
        <f t="shared" si="129"/>
        <v>#DIV/0!</v>
      </c>
      <c r="AW125" s="95"/>
      <c r="AX125" s="371" t="e">
        <f t="shared" si="130"/>
        <v>#DIV/0!</v>
      </c>
      <c r="AY125" s="95"/>
      <c r="AZ125" s="371" t="e">
        <f t="shared" si="131"/>
        <v>#DIV/0!</v>
      </c>
      <c r="BA125" s="47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</row>
    <row r="126" spans="1:68" ht="20.25" customHeight="1">
      <c r="A126" s="100">
        <v>17</v>
      </c>
      <c r="B126" s="100" t="s">
        <v>40</v>
      </c>
      <c r="C126" s="363">
        <v>44974</v>
      </c>
      <c r="D126" s="102" t="s">
        <v>308</v>
      </c>
      <c r="E126" s="100" t="str">
        <f t="shared" si="0"/>
        <v>Sama</v>
      </c>
      <c r="F126" s="63">
        <f t="shared" si="118"/>
        <v>114</v>
      </c>
      <c r="G126" s="63">
        <v>9</v>
      </c>
      <c r="H126" s="64" t="s">
        <v>40</v>
      </c>
      <c r="I126" s="62" t="s">
        <v>308</v>
      </c>
      <c r="J126" s="66">
        <v>5062.4979163508151</v>
      </c>
      <c r="K126" s="533" t="s">
        <v>123</v>
      </c>
      <c r="L126" s="68">
        <f t="shared" si="132"/>
        <v>0</v>
      </c>
      <c r="M126" s="63"/>
      <c r="N126" s="365">
        <f t="shared" si="120"/>
        <v>2012</v>
      </c>
      <c r="O126" s="382" t="s">
        <v>223</v>
      </c>
      <c r="P126" s="68"/>
      <c r="Q126" s="68"/>
      <c r="R126" s="68"/>
      <c r="S126" s="68">
        <f t="shared" si="121"/>
        <v>0</v>
      </c>
      <c r="T126" s="63"/>
      <c r="U126" s="347"/>
      <c r="V126" s="370"/>
      <c r="W126" s="370"/>
      <c r="X126" s="370"/>
      <c r="Y126" s="68">
        <f t="shared" si="122"/>
        <v>0</v>
      </c>
      <c r="Z126" s="345"/>
      <c r="AA126" s="347"/>
      <c r="AB126" s="345"/>
      <c r="AC126" s="345"/>
      <c r="AD126" s="345"/>
      <c r="AE126" s="68">
        <f t="shared" si="123"/>
        <v>0</v>
      </c>
      <c r="AF126" s="366">
        <v>2023</v>
      </c>
      <c r="AG126" s="358" t="s">
        <v>1090</v>
      </c>
      <c r="AH126" s="359"/>
      <c r="AI126" s="360"/>
      <c r="AJ126" s="360" t="s">
        <v>1292</v>
      </c>
      <c r="AK126" s="360" t="str">
        <f t="shared" si="124"/>
        <v/>
      </c>
      <c r="AL126" s="18"/>
      <c r="AM126" s="360" t="str">
        <f t="shared" si="125"/>
        <v>2</v>
      </c>
      <c r="AN126" s="360" t="str">
        <f t="shared" si="126"/>
        <v>2</v>
      </c>
      <c r="AO126" s="360"/>
      <c r="AP126" s="346" t="str">
        <f t="shared" si="127"/>
        <v>2</v>
      </c>
      <c r="AQ126" s="360" t="str">
        <f t="shared" si="128"/>
        <v>2.2..2</v>
      </c>
      <c r="AR126" s="530"/>
      <c r="AS126" s="360"/>
      <c r="AT126" s="362"/>
      <c r="AU126" s="362"/>
      <c r="AV126" s="362"/>
      <c r="AW126" s="362"/>
      <c r="AX126" s="362"/>
      <c r="AY126" s="362"/>
      <c r="AZ126" s="362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</row>
    <row r="127" spans="1:68" ht="20.25" customHeight="1">
      <c r="A127" s="100">
        <v>17</v>
      </c>
      <c r="B127" s="100" t="s">
        <v>40</v>
      </c>
      <c r="C127" s="363">
        <v>45063</v>
      </c>
      <c r="D127" s="102" t="s">
        <v>309</v>
      </c>
      <c r="E127" s="100" t="str">
        <f t="shared" si="0"/>
        <v>Sama</v>
      </c>
      <c r="F127" s="63">
        <f>SUBTOTAL(3,$G$7:G145)</f>
        <v>132</v>
      </c>
      <c r="G127" s="63">
        <v>10</v>
      </c>
      <c r="H127" s="64" t="s">
        <v>40</v>
      </c>
      <c r="I127" s="62" t="s">
        <v>309</v>
      </c>
      <c r="J127" s="66">
        <v>8756.2320327696325</v>
      </c>
      <c r="K127" s="533" t="s">
        <v>123</v>
      </c>
      <c r="L127" s="68">
        <f t="shared" si="132"/>
        <v>0</v>
      </c>
      <c r="M127" s="63"/>
      <c r="N127" s="365">
        <f t="shared" si="120"/>
        <v>2012</v>
      </c>
      <c r="O127" s="382" t="s">
        <v>588</v>
      </c>
      <c r="P127" s="68"/>
      <c r="Q127" s="68"/>
      <c r="R127" s="68"/>
      <c r="S127" s="68">
        <f t="shared" si="121"/>
        <v>0</v>
      </c>
      <c r="T127" s="63"/>
      <c r="U127" s="347"/>
      <c r="V127" s="370"/>
      <c r="W127" s="370"/>
      <c r="X127" s="370"/>
      <c r="Y127" s="68">
        <f t="shared" si="122"/>
        <v>0</v>
      </c>
      <c r="Z127" s="345"/>
      <c r="AA127" s="347"/>
      <c r="AB127" s="345"/>
      <c r="AC127" s="345"/>
      <c r="AD127" s="345"/>
      <c r="AE127" s="68">
        <f t="shared" si="123"/>
        <v>0</v>
      </c>
      <c r="AF127" s="366">
        <v>2023</v>
      </c>
      <c r="AG127" s="358" t="s">
        <v>1090</v>
      </c>
      <c r="AH127" s="359"/>
      <c r="AI127" s="360"/>
      <c r="AJ127" s="360" t="s">
        <v>1294</v>
      </c>
      <c r="AK127" s="360" t="str">
        <f t="shared" si="124"/>
        <v/>
      </c>
      <c r="AL127" s="18"/>
      <c r="AM127" s="360" t="str">
        <f t="shared" si="125"/>
        <v>2</v>
      </c>
      <c r="AN127" s="360" t="str">
        <f t="shared" si="126"/>
        <v>2</v>
      </c>
      <c r="AO127" s="360"/>
      <c r="AP127" s="346" t="str">
        <f t="shared" si="127"/>
        <v>2</v>
      </c>
      <c r="AQ127" s="360" t="str">
        <f t="shared" si="128"/>
        <v>2.2..2</v>
      </c>
      <c r="AR127" s="530"/>
      <c r="AS127" s="360"/>
      <c r="AT127" s="362"/>
      <c r="AU127" s="362"/>
      <c r="AV127" s="362"/>
      <c r="AW127" s="362"/>
      <c r="AX127" s="362"/>
      <c r="AY127" s="362"/>
      <c r="AZ127" s="362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</row>
    <row r="128" spans="1:68" ht="20.25" customHeight="1">
      <c r="A128" s="100">
        <v>16</v>
      </c>
      <c r="B128" s="100" t="s">
        <v>39</v>
      </c>
      <c r="C128" s="100">
        <v>16</v>
      </c>
      <c r="D128" s="102" t="s">
        <v>1988</v>
      </c>
      <c r="E128" s="100" t="str">
        <f t="shared" si="0"/>
        <v>Sama</v>
      </c>
      <c r="F128" s="63"/>
      <c r="G128" s="341"/>
      <c r="H128" s="379"/>
      <c r="I128" s="379" t="s">
        <v>1988</v>
      </c>
      <c r="J128" s="380">
        <f>SUM(J129:J145)</f>
        <v>470602.37227852165</v>
      </c>
      <c r="K128" s="353">
        <f>COUNTIF(K129:K145,"D") + COUNTIF(K129:K145,"DS")</f>
        <v>11</v>
      </c>
      <c r="L128" s="384">
        <f>SUBTOTAL(9,L129:L145)</f>
        <v>390981.50699999998</v>
      </c>
      <c r="M128" s="342">
        <f>COUNTIF(M129:M145,$M$96)</f>
        <v>3</v>
      </c>
      <c r="N128" s="386"/>
      <c r="O128" s="351"/>
      <c r="P128" s="384">
        <f t="shared" ref="P128:S128" si="133">SUBTOTAL(9,P129:P144)</f>
        <v>138233.4</v>
      </c>
      <c r="Q128" s="384">
        <f t="shared" si="133"/>
        <v>0</v>
      </c>
      <c r="R128" s="384">
        <f t="shared" si="133"/>
        <v>312441.40000000002</v>
      </c>
      <c r="S128" s="384">
        <f t="shared" si="133"/>
        <v>312441.40000000002</v>
      </c>
      <c r="T128" s="342">
        <f>COUNTIF(T129:T145,$M$96)</f>
        <v>2</v>
      </c>
      <c r="U128" s="351"/>
      <c r="V128" s="384">
        <v>309408.087</v>
      </c>
      <c r="W128" s="384">
        <v>14459.84</v>
      </c>
      <c r="X128" s="384">
        <v>281930.587</v>
      </c>
      <c r="Y128" s="384">
        <f>SUBTOTAL(9,Y129:Y144)</f>
        <v>298093.43700000003</v>
      </c>
      <c r="Z128" s="342">
        <f>COUNTIF(Z129:Z145,$M$96)</f>
        <v>3</v>
      </c>
      <c r="AA128" s="351">
        <v>4</v>
      </c>
      <c r="AB128" s="337">
        <v>309408.087</v>
      </c>
      <c r="AC128" s="337">
        <v>14459.84</v>
      </c>
      <c r="AD128" s="337">
        <v>281930.587</v>
      </c>
      <c r="AE128" s="384">
        <f>SUBTOTAL(9,AE129:AE144)</f>
        <v>348002.85</v>
      </c>
      <c r="AF128" s="357" t="s">
        <v>1138</v>
      </c>
      <c r="AG128" s="358"/>
      <c r="AH128" s="359"/>
      <c r="AI128" s="360"/>
      <c r="AJ128" s="360"/>
      <c r="AK128" s="361">
        <f>COUNTIF(AK129:AK145,"V") + COUNTIF(AK129:AK145,"VV") + COUNTIF(AK129:AK145,"VVV")</f>
        <v>6</v>
      </c>
      <c r="AL128" s="18"/>
      <c r="AM128" s="360"/>
      <c r="AN128" s="360"/>
      <c r="AO128" s="360"/>
      <c r="AP128" s="346"/>
      <c r="AQ128" s="360"/>
      <c r="AR128" s="530"/>
      <c r="AS128" s="360"/>
      <c r="AT128" s="362"/>
      <c r="AU128" s="362"/>
      <c r="AV128" s="362"/>
      <c r="AW128" s="362"/>
      <c r="AX128" s="362"/>
      <c r="AY128" s="362"/>
      <c r="AZ128" s="362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</row>
    <row r="129" spans="1:68" ht="20.25" customHeight="1">
      <c r="A129" s="100">
        <v>16</v>
      </c>
      <c r="B129" s="100" t="s">
        <v>39</v>
      </c>
      <c r="C129" s="363">
        <v>45123</v>
      </c>
      <c r="D129" s="102" t="s">
        <v>310</v>
      </c>
      <c r="E129" s="100" t="str">
        <f t="shared" si="0"/>
        <v>Beda</v>
      </c>
      <c r="F129" s="63">
        <f t="shared" ref="F129:F145" si="134">SUBTOTAL(3,$G$7:G129)</f>
        <v>116</v>
      </c>
      <c r="G129" s="63">
        <v>1</v>
      </c>
      <c r="H129" s="62" t="s">
        <v>39</v>
      </c>
      <c r="I129" s="62" t="s">
        <v>1989</v>
      </c>
      <c r="J129" s="66">
        <v>174370.85888540975</v>
      </c>
      <c r="K129" s="533" t="s">
        <v>91</v>
      </c>
      <c r="L129" s="68">
        <f t="shared" ref="L129:L145" si="135">IF(S129&gt;0,S129,IF(Y129&gt;0,Y129,IF(AE129&gt;0,AE129,0)))</f>
        <v>104973</v>
      </c>
      <c r="M129" s="63" t="s">
        <v>1076</v>
      </c>
      <c r="N129" s="365">
        <f t="shared" ref="N129:N145" si="136">VALUE(RIGHT(O129,4))</f>
        <v>2019</v>
      </c>
      <c r="O129" s="347" t="s">
        <v>311</v>
      </c>
      <c r="P129" s="370">
        <v>104973</v>
      </c>
      <c r="Q129" s="370">
        <v>0</v>
      </c>
      <c r="R129" s="370">
        <v>104973</v>
      </c>
      <c r="S129" s="68">
        <f t="shared" ref="S129:S145" si="137">IF(R129&gt;0,R129,IF(P129&gt;0,P129,0))</f>
        <v>104973</v>
      </c>
      <c r="T129" s="63"/>
      <c r="U129" s="347" t="s">
        <v>1249</v>
      </c>
      <c r="V129" s="370">
        <v>232873.4</v>
      </c>
      <c r="W129" s="370">
        <v>0</v>
      </c>
      <c r="X129" s="370">
        <v>232873.4</v>
      </c>
      <c r="Y129" s="68">
        <f t="shared" ref="Y129:Y145" si="138">IF(X129&gt;0,X129,IF(V129&gt;0,V129,0))</f>
        <v>232873.4</v>
      </c>
      <c r="Z129" s="345"/>
      <c r="AA129" s="347" t="s">
        <v>1250</v>
      </c>
      <c r="AB129" s="345">
        <v>232873.4</v>
      </c>
      <c r="AC129" s="345">
        <v>0</v>
      </c>
      <c r="AD129" s="345">
        <v>232873.4</v>
      </c>
      <c r="AE129" s="68">
        <f t="shared" ref="AE129:AE145" si="139">IF(AD129&gt;0,AD129,IF(AB129&gt;0,AB129,0))</f>
        <v>232873.4</v>
      </c>
      <c r="AF129" s="366">
        <v>2020</v>
      </c>
      <c r="AG129" s="358"/>
      <c r="AH129" s="359"/>
      <c r="AI129" s="360"/>
      <c r="AJ129" s="360"/>
      <c r="AK129" s="360" t="str">
        <f t="shared" ref="AK129:AK145" si="140">CONCATENATE(M129,T129,Z129)</f>
        <v>V</v>
      </c>
      <c r="AL129" s="18"/>
      <c r="AM129" s="360" t="str">
        <f t="shared" ref="AM129:AM144" si="141">IF(N129="","3",IF(N129&lt;=2018,"2","1"))</f>
        <v>1</v>
      </c>
      <c r="AN129" s="360" t="str">
        <f t="shared" ref="AN129:AN145" si="142">IF(S129&gt;0,"1","2")</f>
        <v>1</v>
      </c>
      <c r="AO129" s="360"/>
      <c r="AP129" s="346" t="str">
        <f t="shared" ref="AP129:AP145" si="143">IF(Y129&gt;0,"1",IF(AE129&gt;0,"1","2"))</f>
        <v>1</v>
      </c>
      <c r="AQ129" s="360" t="str">
        <f t="shared" ref="AQ129:AQ145" si="144">CONCATENATE(AM129,".",AN129,".",AO129,".",AP129)</f>
        <v>1.1..1</v>
      </c>
      <c r="AR129" s="530"/>
      <c r="AS129" s="347" t="s">
        <v>310</v>
      </c>
      <c r="AT129" s="362" t="s">
        <v>311</v>
      </c>
      <c r="AU129" s="367">
        <v>174371</v>
      </c>
      <c r="AV129" s="368" t="e">
        <f t="shared" ref="AV129:AV130" si="145">AU129/AT129</f>
        <v>#VALUE!</v>
      </c>
      <c r="AW129" s="368">
        <v>0.62</v>
      </c>
      <c r="AX129" s="368" t="e">
        <f t="shared" ref="AX129:AX130" si="146">AW129/AT129</f>
        <v>#VALUE!</v>
      </c>
      <c r="AY129" s="368">
        <v>0.6</v>
      </c>
      <c r="AZ129" s="368" t="e">
        <f t="shared" ref="AZ129:AZ130" si="147">AY129/AT129</f>
        <v>#VALUE!</v>
      </c>
      <c r="BA129" s="397">
        <v>0.4</v>
      </c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</row>
    <row r="130" spans="1:68" ht="20.25" customHeight="1">
      <c r="A130" s="100">
        <v>16</v>
      </c>
      <c r="B130" s="100" t="s">
        <v>39</v>
      </c>
      <c r="C130" s="369">
        <v>45246</v>
      </c>
      <c r="D130" s="102" t="s">
        <v>312</v>
      </c>
      <c r="E130" s="100" t="str">
        <f t="shared" si="0"/>
        <v>Sama</v>
      </c>
      <c r="F130" s="63">
        <f t="shared" si="134"/>
        <v>117</v>
      </c>
      <c r="G130" s="63">
        <v>2</v>
      </c>
      <c r="H130" s="62" t="s">
        <v>39</v>
      </c>
      <c r="I130" s="62" t="s">
        <v>312</v>
      </c>
      <c r="J130" s="66">
        <v>9339.6819357032382</v>
      </c>
      <c r="K130" s="533" t="s">
        <v>91</v>
      </c>
      <c r="L130" s="68">
        <f t="shared" si="135"/>
        <v>13913</v>
      </c>
      <c r="M130" s="63"/>
      <c r="N130" s="365">
        <f t="shared" si="136"/>
        <v>2012</v>
      </c>
      <c r="O130" s="347" t="s">
        <v>546</v>
      </c>
      <c r="P130" s="370"/>
      <c r="Q130" s="370"/>
      <c r="R130" s="370"/>
      <c r="S130" s="68">
        <f t="shared" si="137"/>
        <v>0</v>
      </c>
      <c r="T130" s="63" t="s">
        <v>1076</v>
      </c>
      <c r="U130" s="347" t="s">
        <v>712</v>
      </c>
      <c r="V130" s="370">
        <v>13913</v>
      </c>
      <c r="W130" s="370"/>
      <c r="X130" s="370"/>
      <c r="Y130" s="68">
        <f t="shared" si="138"/>
        <v>13913</v>
      </c>
      <c r="Z130" s="345"/>
      <c r="AA130" s="347"/>
      <c r="AB130" s="345"/>
      <c r="AC130" s="345"/>
      <c r="AD130" s="345"/>
      <c r="AE130" s="68">
        <f t="shared" si="139"/>
        <v>0</v>
      </c>
      <c r="AF130" s="364" t="s">
        <v>1097</v>
      </c>
      <c r="AG130" s="344"/>
      <c r="AH130" s="84"/>
      <c r="AI130" s="63"/>
      <c r="AJ130" s="63"/>
      <c r="AK130" s="63" t="str">
        <f t="shared" si="140"/>
        <v>V</v>
      </c>
      <c r="AL130" s="47"/>
      <c r="AM130" s="63" t="str">
        <f t="shared" si="141"/>
        <v>2</v>
      </c>
      <c r="AN130" s="63" t="str">
        <f t="shared" si="142"/>
        <v>2</v>
      </c>
      <c r="AO130" s="63"/>
      <c r="AP130" s="346" t="str">
        <f t="shared" si="143"/>
        <v>1</v>
      </c>
      <c r="AQ130" s="63" t="str">
        <f t="shared" si="144"/>
        <v>2.2..1</v>
      </c>
      <c r="AR130" s="534"/>
      <c r="AS130" s="347"/>
      <c r="AT130" s="95"/>
      <c r="AU130" s="95"/>
      <c r="AV130" s="371" t="e">
        <f t="shared" si="145"/>
        <v>#DIV/0!</v>
      </c>
      <c r="AW130" s="95"/>
      <c r="AX130" s="371" t="e">
        <f t="shared" si="146"/>
        <v>#DIV/0!</v>
      </c>
      <c r="AY130" s="95"/>
      <c r="AZ130" s="371" t="e">
        <f t="shared" si="147"/>
        <v>#DIV/0!</v>
      </c>
      <c r="BA130" s="47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</row>
    <row r="131" spans="1:68" ht="20.25" customHeight="1">
      <c r="A131" s="100">
        <v>16</v>
      </c>
      <c r="B131" s="100" t="s">
        <v>39</v>
      </c>
      <c r="C131" s="100" t="s">
        <v>1990</v>
      </c>
      <c r="D131" s="102" t="s">
        <v>1991</v>
      </c>
      <c r="E131" s="100" t="str">
        <f t="shared" si="0"/>
        <v>Beda</v>
      </c>
      <c r="F131" s="63">
        <f t="shared" si="134"/>
        <v>118</v>
      </c>
      <c r="G131" s="63">
        <v>3</v>
      </c>
      <c r="H131" s="62" t="s">
        <v>39</v>
      </c>
      <c r="I131" s="62" t="s">
        <v>314</v>
      </c>
      <c r="J131" s="66">
        <v>1086.7443211401055</v>
      </c>
      <c r="K131" s="533" t="s">
        <v>104</v>
      </c>
      <c r="L131" s="68">
        <f t="shared" si="135"/>
        <v>2128</v>
      </c>
      <c r="M131" s="63"/>
      <c r="N131" s="365">
        <f t="shared" si="136"/>
        <v>2012</v>
      </c>
      <c r="O131" s="382" t="s">
        <v>315</v>
      </c>
      <c r="P131" s="68">
        <v>2128</v>
      </c>
      <c r="Q131" s="68">
        <v>0</v>
      </c>
      <c r="R131" s="68">
        <v>2128</v>
      </c>
      <c r="S131" s="68">
        <f t="shared" si="137"/>
        <v>2128</v>
      </c>
      <c r="T131" s="63"/>
      <c r="U131" s="347" t="s">
        <v>712</v>
      </c>
      <c r="V131" s="370">
        <v>857.19</v>
      </c>
      <c r="W131" s="370"/>
      <c r="X131" s="370"/>
      <c r="Y131" s="68">
        <f t="shared" si="138"/>
        <v>857.19</v>
      </c>
      <c r="Z131" s="345"/>
      <c r="AA131" s="347"/>
      <c r="AB131" s="345"/>
      <c r="AC131" s="345"/>
      <c r="AD131" s="345"/>
      <c r="AE131" s="68">
        <f t="shared" si="139"/>
        <v>0</v>
      </c>
      <c r="AF131" s="366" t="s">
        <v>1097</v>
      </c>
      <c r="AG131" s="358"/>
      <c r="AH131" s="359"/>
      <c r="AI131" s="360"/>
      <c r="AJ131" s="360"/>
      <c r="AK131" s="360" t="str">
        <f t="shared" si="140"/>
        <v/>
      </c>
      <c r="AL131" s="18"/>
      <c r="AM131" s="360" t="str">
        <f t="shared" si="141"/>
        <v>2</v>
      </c>
      <c r="AN131" s="360" t="str">
        <f t="shared" si="142"/>
        <v>1</v>
      </c>
      <c r="AO131" s="360"/>
      <c r="AP131" s="346" t="str">
        <f t="shared" si="143"/>
        <v>1</v>
      </c>
      <c r="AQ131" s="360" t="str">
        <f t="shared" si="144"/>
        <v>2.1..1</v>
      </c>
      <c r="AR131" s="530"/>
      <c r="AS131" s="360"/>
      <c r="AT131" s="362"/>
      <c r="AU131" s="362"/>
      <c r="AV131" s="362"/>
      <c r="AW131" s="362"/>
      <c r="AX131" s="362"/>
      <c r="AY131" s="362"/>
      <c r="AZ131" s="362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</row>
    <row r="132" spans="1:68" ht="20.25" customHeight="1">
      <c r="A132" s="100">
        <v>16</v>
      </c>
      <c r="B132" s="100" t="s">
        <v>39</v>
      </c>
      <c r="C132" s="100" t="s">
        <v>1992</v>
      </c>
      <c r="D132" s="102" t="s">
        <v>316</v>
      </c>
      <c r="E132" s="100" t="str">
        <f t="shared" si="0"/>
        <v>Sama</v>
      </c>
      <c r="F132" s="63">
        <f t="shared" si="134"/>
        <v>119</v>
      </c>
      <c r="G132" s="63">
        <v>4</v>
      </c>
      <c r="H132" s="62" t="s">
        <v>39</v>
      </c>
      <c r="I132" s="62" t="s">
        <v>316</v>
      </c>
      <c r="J132" s="66">
        <v>2946.5212062378823</v>
      </c>
      <c r="K132" s="533" t="s">
        <v>104</v>
      </c>
      <c r="L132" s="68">
        <f t="shared" si="135"/>
        <v>1392.66</v>
      </c>
      <c r="M132" s="63"/>
      <c r="N132" s="365">
        <f t="shared" si="136"/>
        <v>2012</v>
      </c>
      <c r="O132" s="382" t="s">
        <v>1201</v>
      </c>
      <c r="P132" s="68"/>
      <c r="Q132" s="68"/>
      <c r="R132" s="68"/>
      <c r="S132" s="68">
        <f t="shared" si="137"/>
        <v>0</v>
      </c>
      <c r="T132" s="63"/>
      <c r="U132" s="347" t="s">
        <v>1254</v>
      </c>
      <c r="V132" s="370">
        <v>1392.66</v>
      </c>
      <c r="W132" s="370">
        <v>0</v>
      </c>
      <c r="X132" s="370">
        <v>0</v>
      </c>
      <c r="Y132" s="68">
        <f t="shared" si="138"/>
        <v>1392.66</v>
      </c>
      <c r="Z132" s="345"/>
      <c r="AA132" s="347"/>
      <c r="AB132" s="345">
        <v>1392.66</v>
      </c>
      <c r="AC132" s="345">
        <v>0</v>
      </c>
      <c r="AD132" s="345">
        <v>0</v>
      </c>
      <c r="AE132" s="68">
        <f t="shared" si="139"/>
        <v>1392.66</v>
      </c>
      <c r="AF132" s="366" t="s">
        <v>1097</v>
      </c>
      <c r="AG132" s="358"/>
      <c r="AH132" s="359"/>
      <c r="AI132" s="360"/>
      <c r="AJ132" s="360"/>
      <c r="AK132" s="360" t="str">
        <f t="shared" si="140"/>
        <v/>
      </c>
      <c r="AL132" s="18"/>
      <c r="AM132" s="360" t="str">
        <f t="shared" si="141"/>
        <v>2</v>
      </c>
      <c r="AN132" s="360" t="str">
        <f t="shared" si="142"/>
        <v>2</v>
      </c>
      <c r="AO132" s="360"/>
      <c r="AP132" s="346" t="str">
        <f t="shared" si="143"/>
        <v>1</v>
      </c>
      <c r="AQ132" s="360" t="str">
        <f t="shared" si="144"/>
        <v>2.2..1</v>
      </c>
      <c r="AR132" s="530"/>
      <c r="AS132" s="360"/>
      <c r="AT132" s="362"/>
      <c r="AU132" s="362"/>
      <c r="AV132" s="362"/>
      <c r="AW132" s="362"/>
      <c r="AX132" s="362"/>
      <c r="AY132" s="362"/>
      <c r="AZ132" s="362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</row>
    <row r="133" spans="1:68" ht="20.25" customHeight="1">
      <c r="A133" s="100">
        <v>16</v>
      </c>
      <c r="B133" s="100" t="s">
        <v>39</v>
      </c>
      <c r="C133" s="100" t="s">
        <v>1993</v>
      </c>
      <c r="D133" s="102" t="s">
        <v>318</v>
      </c>
      <c r="E133" s="100" t="str">
        <f t="shared" si="0"/>
        <v>Sama</v>
      </c>
      <c r="F133" s="63">
        <f t="shared" si="134"/>
        <v>120</v>
      </c>
      <c r="G133" s="63">
        <v>5</v>
      </c>
      <c r="H133" s="62" t="s">
        <v>39</v>
      </c>
      <c r="I133" s="62" t="s">
        <v>318</v>
      </c>
      <c r="J133" s="66">
        <v>3409.1530559464659</v>
      </c>
      <c r="K133" s="533" t="s">
        <v>123</v>
      </c>
      <c r="L133" s="68">
        <f t="shared" si="135"/>
        <v>0</v>
      </c>
      <c r="M133" s="63"/>
      <c r="N133" s="365">
        <f t="shared" si="136"/>
        <v>2012</v>
      </c>
      <c r="O133" s="382" t="s">
        <v>1256</v>
      </c>
      <c r="P133" s="68"/>
      <c r="Q133" s="68"/>
      <c r="R133" s="68"/>
      <c r="S133" s="68">
        <f t="shared" si="137"/>
        <v>0</v>
      </c>
      <c r="T133" s="63"/>
      <c r="U133" s="347"/>
      <c r="V133" s="370"/>
      <c r="W133" s="370"/>
      <c r="X133" s="370"/>
      <c r="Y133" s="68">
        <f t="shared" si="138"/>
        <v>0</v>
      </c>
      <c r="Z133" s="345"/>
      <c r="AA133" s="347"/>
      <c r="AB133" s="345"/>
      <c r="AC133" s="345"/>
      <c r="AD133" s="345"/>
      <c r="AE133" s="68">
        <f t="shared" si="139"/>
        <v>0</v>
      </c>
      <c r="AF133" s="366" t="s">
        <v>1097</v>
      </c>
      <c r="AG133" s="358"/>
      <c r="AH133" s="359"/>
      <c r="AI133" s="360"/>
      <c r="AJ133" s="360"/>
      <c r="AK133" s="360" t="str">
        <f t="shared" si="140"/>
        <v/>
      </c>
      <c r="AL133" s="18"/>
      <c r="AM133" s="360" t="str">
        <f t="shared" si="141"/>
        <v>2</v>
      </c>
      <c r="AN133" s="360" t="str">
        <f t="shared" si="142"/>
        <v>2</v>
      </c>
      <c r="AO133" s="360"/>
      <c r="AP133" s="346" t="str">
        <f t="shared" si="143"/>
        <v>2</v>
      </c>
      <c r="AQ133" s="360" t="str">
        <f t="shared" si="144"/>
        <v>2.2..2</v>
      </c>
      <c r="AR133" s="530"/>
      <c r="AS133" s="360"/>
      <c r="AT133" s="362"/>
      <c r="AU133" s="362"/>
      <c r="AV133" s="362"/>
      <c r="AW133" s="362"/>
      <c r="AX133" s="362"/>
      <c r="AY133" s="362"/>
      <c r="AZ133" s="362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</row>
    <row r="134" spans="1:68" ht="20.25" customHeight="1">
      <c r="A134" s="100">
        <v>16</v>
      </c>
      <c r="B134" s="100" t="s">
        <v>39</v>
      </c>
      <c r="C134" s="100" t="s">
        <v>1994</v>
      </c>
      <c r="D134" s="102" t="s">
        <v>320</v>
      </c>
      <c r="E134" s="100" t="str">
        <f t="shared" si="0"/>
        <v>Sama</v>
      </c>
      <c r="F134" s="63">
        <f t="shared" si="134"/>
        <v>121</v>
      </c>
      <c r="G134" s="63">
        <v>6</v>
      </c>
      <c r="H134" s="62" t="s">
        <v>39</v>
      </c>
      <c r="I134" s="62" t="s">
        <v>320</v>
      </c>
      <c r="J134" s="66">
        <v>279.89333962433841</v>
      </c>
      <c r="K134" s="533" t="s">
        <v>123</v>
      </c>
      <c r="L134" s="68">
        <f t="shared" si="135"/>
        <v>0</v>
      </c>
      <c r="M134" s="63"/>
      <c r="N134" s="365">
        <f t="shared" si="136"/>
        <v>2014</v>
      </c>
      <c r="O134" s="382" t="s">
        <v>321</v>
      </c>
      <c r="P134" s="68"/>
      <c r="Q134" s="68"/>
      <c r="R134" s="68"/>
      <c r="S134" s="68">
        <f t="shared" si="137"/>
        <v>0</v>
      </c>
      <c r="T134" s="63"/>
      <c r="U134" s="347"/>
      <c r="V134" s="370"/>
      <c r="W134" s="370"/>
      <c r="X134" s="370"/>
      <c r="Y134" s="68">
        <f t="shared" si="138"/>
        <v>0</v>
      </c>
      <c r="Z134" s="345"/>
      <c r="AA134" s="347"/>
      <c r="AB134" s="345"/>
      <c r="AC134" s="345"/>
      <c r="AD134" s="345"/>
      <c r="AE134" s="68">
        <f t="shared" si="139"/>
        <v>0</v>
      </c>
      <c r="AF134" s="366" t="s">
        <v>1097</v>
      </c>
      <c r="AG134" s="358"/>
      <c r="AH134" s="359"/>
      <c r="AI134" s="360"/>
      <c r="AJ134" s="360"/>
      <c r="AK134" s="360" t="str">
        <f t="shared" si="140"/>
        <v/>
      </c>
      <c r="AL134" s="18"/>
      <c r="AM134" s="360" t="str">
        <f t="shared" si="141"/>
        <v>2</v>
      </c>
      <c r="AN134" s="360" t="str">
        <f t="shared" si="142"/>
        <v>2</v>
      </c>
      <c r="AO134" s="360"/>
      <c r="AP134" s="346" t="str">
        <f t="shared" si="143"/>
        <v>2</v>
      </c>
      <c r="AQ134" s="360" t="str">
        <f t="shared" si="144"/>
        <v>2.2..2</v>
      </c>
      <c r="AR134" s="530"/>
      <c r="AS134" s="360"/>
      <c r="AT134" s="362"/>
      <c r="AU134" s="362"/>
      <c r="AV134" s="362"/>
      <c r="AW134" s="362"/>
      <c r="AX134" s="362"/>
      <c r="AY134" s="362"/>
      <c r="AZ134" s="362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</row>
    <row r="135" spans="1:68" ht="20.25" customHeight="1">
      <c r="A135" s="100">
        <v>16</v>
      </c>
      <c r="B135" s="100" t="s">
        <v>39</v>
      </c>
      <c r="C135" s="363">
        <v>45032</v>
      </c>
      <c r="D135" s="102" t="s">
        <v>322</v>
      </c>
      <c r="E135" s="100" t="str">
        <f t="shared" si="0"/>
        <v>Sama</v>
      </c>
      <c r="F135" s="63">
        <f t="shared" si="134"/>
        <v>122</v>
      </c>
      <c r="G135" s="63">
        <v>7</v>
      </c>
      <c r="H135" s="62" t="s">
        <v>39</v>
      </c>
      <c r="I135" s="62" t="s">
        <v>322</v>
      </c>
      <c r="J135" s="66">
        <v>12521.069683857606</v>
      </c>
      <c r="K135" s="533" t="s">
        <v>123</v>
      </c>
      <c r="L135" s="68">
        <f t="shared" si="135"/>
        <v>0</v>
      </c>
      <c r="M135" s="63"/>
      <c r="N135" s="365">
        <f t="shared" si="136"/>
        <v>2012</v>
      </c>
      <c r="O135" s="382" t="s">
        <v>323</v>
      </c>
      <c r="P135" s="68"/>
      <c r="Q135" s="68"/>
      <c r="R135" s="68"/>
      <c r="S135" s="68">
        <f t="shared" si="137"/>
        <v>0</v>
      </c>
      <c r="T135" s="63"/>
      <c r="U135" s="347"/>
      <c r="V135" s="370"/>
      <c r="W135" s="370"/>
      <c r="X135" s="370"/>
      <c r="Y135" s="68">
        <f t="shared" si="138"/>
        <v>0</v>
      </c>
      <c r="Z135" s="345"/>
      <c r="AA135" s="347"/>
      <c r="AB135" s="345"/>
      <c r="AC135" s="345"/>
      <c r="AD135" s="345"/>
      <c r="AE135" s="68">
        <f t="shared" si="139"/>
        <v>0</v>
      </c>
      <c r="AF135" s="366" t="s">
        <v>1097</v>
      </c>
      <c r="AG135" s="358"/>
      <c r="AH135" s="359"/>
      <c r="AI135" s="360"/>
      <c r="AJ135" s="360"/>
      <c r="AK135" s="360" t="str">
        <f t="shared" si="140"/>
        <v/>
      </c>
      <c r="AL135" s="18"/>
      <c r="AM135" s="360" t="str">
        <f t="shared" si="141"/>
        <v>2</v>
      </c>
      <c r="AN135" s="360" t="str">
        <f t="shared" si="142"/>
        <v>2</v>
      </c>
      <c r="AO135" s="360"/>
      <c r="AP135" s="346" t="str">
        <f t="shared" si="143"/>
        <v>2</v>
      </c>
      <c r="AQ135" s="360" t="str">
        <f t="shared" si="144"/>
        <v>2.2..2</v>
      </c>
      <c r="AR135" s="530"/>
      <c r="AS135" s="360"/>
      <c r="AT135" s="362"/>
      <c r="AU135" s="362"/>
      <c r="AV135" s="362"/>
      <c r="AW135" s="362"/>
      <c r="AX135" s="362"/>
      <c r="AY135" s="362"/>
      <c r="AZ135" s="362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</row>
    <row r="136" spans="1:68" ht="20.25" customHeight="1">
      <c r="A136" s="100">
        <v>16</v>
      </c>
      <c r="B136" s="100" t="s">
        <v>39</v>
      </c>
      <c r="C136" s="363">
        <v>45001</v>
      </c>
      <c r="D136" s="102" t="s">
        <v>324</v>
      </c>
      <c r="E136" s="100" t="str">
        <f t="shared" si="0"/>
        <v>Sama</v>
      </c>
      <c r="F136" s="63">
        <f t="shared" si="134"/>
        <v>123</v>
      </c>
      <c r="G136" s="63">
        <v>8</v>
      </c>
      <c r="H136" s="62" t="s">
        <v>39</v>
      </c>
      <c r="I136" s="62" t="s">
        <v>324</v>
      </c>
      <c r="J136" s="66">
        <v>13905.82343508222</v>
      </c>
      <c r="K136" s="533" t="s">
        <v>91</v>
      </c>
      <c r="L136" s="68">
        <f t="shared" si="135"/>
        <v>19632.400000000001</v>
      </c>
      <c r="M136" s="63" t="s">
        <v>1076</v>
      </c>
      <c r="N136" s="365">
        <f t="shared" si="136"/>
        <v>2018</v>
      </c>
      <c r="O136" s="347" t="s">
        <v>1260</v>
      </c>
      <c r="P136" s="370">
        <v>19632.400000000001</v>
      </c>
      <c r="Q136" s="370">
        <v>0</v>
      </c>
      <c r="R136" s="370">
        <v>19632.400000000001</v>
      </c>
      <c r="S136" s="68">
        <f t="shared" si="137"/>
        <v>19632.400000000001</v>
      </c>
      <c r="T136" s="63" t="s">
        <v>1076</v>
      </c>
      <c r="U136" s="347" t="s">
        <v>868</v>
      </c>
      <c r="V136" s="370">
        <v>19632.400000000001</v>
      </c>
      <c r="W136" s="370">
        <v>0</v>
      </c>
      <c r="X136" s="370">
        <v>19632.400000000001</v>
      </c>
      <c r="Y136" s="68">
        <f t="shared" si="138"/>
        <v>19632.400000000001</v>
      </c>
      <c r="Z136" s="345" t="s">
        <v>1076</v>
      </c>
      <c r="AA136" s="347" t="s">
        <v>325</v>
      </c>
      <c r="AB136" s="345">
        <v>19632.400000000001</v>
      </c>
      <c r="AC136" s="345">
        <v>0</v>
      </c>
      <c r="AD136" s="345">
        <v>19632.400000000001</v>
      </c>
      <c r="AE136" s="68">
        <f t="shared" si="139"/>
        <v>19632.400000000001</v>
      </c>
      <c r="AF136" s="366">
        <v>2020</v>
      </c>
      <c r="AG136" s="358"/>
      <c r="AH136" s="359"/>
      <c r="AI136" s="360"/>
      <c r="AJ136" s="360"/>
      <c r="AK136" s="360" t="str">
        <f t="shared" si="140"/>
        <v>VVV</v>
      </c>
      <c r="AL136" s="18"/>
      <c r="AM136" s="360" t="str">
        <f t="shared" si="141"/>
        <v>2</v>
      </c>
      <c r="AN136" s="360" t="str">
        <f t="shared" si="142"/>
        <v>1</v>
      </c>
      <c r="AO136" s="360"/>
      <c r="AP136" s="346" t="str">
        <f t="shared" si="143"/>
        <v>1</v>
      </c>
      <c r="AQ136" s="360" t="str">
        <f t="shared" si="144"/>
        <v>2.1..1</v>
      </c>
      <c r="AR136" s="530"/>
      <c r="AS136" s="362" t="s">
        <v>325</v>
      </c>
      <c r="AT136" s="367">
        <v>13906</v>
      </c>
      <c r="AU136" s="367">
        <v>16513</v>
      </c>
      <c r="AV136" s="368">
        <f t="shared" ref="AV136:AV138" si="148">AU136/AT136</f>
        <v>1.1874730332230692</v>
      </c>
      <c r="AW136" s="367">
        <v>13453</v>
      </c>
      <c r="AX136" s="368">
        <f t="shared" ref="AX136:AX138" si="149">AW136/AT136</f>
        <v>0.96742413346756795</v>
      </c>
      <c r="AY136" s="362">
        <v>453</v>
      </c>
      <c r="AZ136" s="368">
        <f t="shared" ref="AZ136:AZ138" si="150">AY136/AT136</f>
        <v>3.2575866532432045E-2</v>
      </c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</row>
    <row r="137" spans="1:68" ht="20.25" customHeight="1">
      <c r="A137" s="100">
        <v>16</v>
      </c>
      <c r="B137" s="100" t="s">
        <v>39</v>
      </c>
      <c r="C137" s="363">
        <v>45093</v>
      </c>
      <c r="D137" s="102" t="s">
        <v>326</v>
      </c>
      <c r="E137" s="100" t="str">
        <f t="shared" si="0"/>
        <v>Sama</v>
      </c>
      <c r="F137" s="63">
        <f t="shared" si="134"/>
        <v>124</v>
      </c>
      <c r="G137" s="63">
        <v>9</v>
      </c>
      <c r="H137" s="62" t="s">
        <v>39</v>
      </c>
      <c r="I137" s="62" t="s">
        <v>326</v>
      </c>
      <c r="J137" s="66">
        <v>34646.422833234414</v>
      </c>
      <c r="K137" s="533" t="s">
        <v>91</v>
      </c>
      <c r="L137" s="68">
        <f t="shared" si="135"/>
        <v>33809.660000000003</v>
      </c>
      <c r="M137" s="63"/>
      <c r="N137" s="365">
        <f t="shared" si="136"/>
        <v>2016</v>
      </c>
      <c r="O137" s="382" t="s">
        <v>1262</v>
      </c>
      <c r="P137" s="68"/>
      <c r="Q137" s="68"/>
      <c r="R137" s="68"/>
      <c r="S137" s="68">
        <f t="shared" si="137"/>
        <v>0</v>
      </c>
      <c r="T137" s="63"/>
      <c r="U137" s="347"/>
      <c r="V137" s="370"/>
      <c r="W137" s="370"/>
      <c r="X137" s="370"/>
      <c r="Y137" s="68">
        <f t="shared" si="138"/>
        <v>0</v>
      </c>
      <c r="Z137" s="345" t="s">
        <v>1076</v>
      </c>
      <c r="AA137" s="347" t="s">
        <v>327</v>
      </c>
      <c r="AB137" s="345">
        <v>33809.660000000003</v>
      </c>
      <c r="AC137" s="345">
        <v>6735.02</v>
      </c>
      <c r="AD137" s="345"/>
      <c r="AE137" s="68">
        <f t="shared" si="139"/>
        <v>33809.660000000003</v>
      </c>
      <c r="AF137" s="366" t="s">
        <v>1097</v>
      </c>
      <c r="AG137" s="358"/>
      <c r="AH137" s="359"/>
      <c r="AI137" s="360"/>
      <c r="AJ137" s="360"/>
      <c r="AK137" s="360" t="str">
        <f t="shared" si="140"/>
        <v>V</v>
      </c>
      <c r="AL137" s="18"/>
      <c r="AM137" s="360" t="str">
        <f t="shared" si="141"/>
        <v>2</v>
      </c>
      <c r="AN137" s="360" t="str">
        <f t="shared" si="142"/>
        <v>2</v>
      </c>
      <c r="AO137" s="360"/>
      <c r="AP137" s="346" t="str">
        <f t="shared" si="143"/>
        <v>1</v>
      </c>
      <c r="AQ137" s="360" t="str">
        <f t="shared" si="144"/>
        <v>2.2..1</v>
      </c>
      <c r="AR137" s="530"/>
      <c r="AS137" s="362" t="s">
        <v>1995</v>
      </c>
      <c r="AT137" s="367">
        <v>34646</v>
      </c>
      <c r="AU137" s="367">
        <v>40545</v>
      </c>
      <c r="AV137" s="368">
        <f t="shared" si="148"/>
        <v>1.1702649656526005</v>
      </c>
      <c r="AW137" s="367">
        <v>32723</v>
      </c>
      <c r="AX137" s="368">
        <f t="shared" si="149"/>
        <v>0.94449575708595512</v>
      </c>
      <c r="AY137" s="367">
        <v>1924</v>
      </c>
      <c r="AZ137" s="368">
        <f t="shared" si="150"/>
        <v>5.5533106274894647E-2</v>
      </c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</row>
    <row r="138" spans="1:68" ht="20.25" customHeight="1">
      <c r="A138" s="100">
        <v>16</v>
      </c>
      <c r="B138" s="100" t="s">
        <v>39</v>
      </c>
      <c r="C138" s="363">
        <v>45062</v>
      </c>
      <c r="D138" s="102" t="s">
        <v>328</v>
      </c>
      <c r="E138" s="100" t="str">
        <f t="shared" si="0"/>
        <v>Sama</v>
      </c>
      <c r="F138" s="63">
        <f t="shared" si="134"/>
        <v>125</v>
      </c>
      <c r="G138" s="63">
        <v>10</v>
      </c>
      <c r="H138" s="62" t="s">
        <v>39</v>
      </c>
      <c r="I138" s="62" t="s">
        <v>328</v>
      </c>
      <c r="J138" s="66">
        <v>13327.88135143251</v>
      </c>
      <c r="K138" s="533" t="s">
        <v>91</v>
      </c>
      <c r="L138" s="68">
        <f t="shared" si="135"/>
        <v>29360.18</v>
      </c>
      <c r="M138" s="63"/>
      <c r="N138" s="365">
        <f t="shared" si="136"/>
        <v>2013</v>
      </c>
      <c r="O138" s="382" t="s">
        <v>167</v>
      </c>
      <c r="P138" s="68"/>
      <c r="Q138" s="68"/>
      <c r="R138" s="68"/>
      <c r="S138" s="68">
        <f t="shared" si="137"/>
        <v>0</v>
      </c>
      <c r="T138" s="63"/>
      <c r="U138" s="385" t="s">
        <v>1264</v>
      </c>
      <c r="V138" s="370">
        <v>21635.360000000001</v>
      </c>
      <c r="W138" s="370">
        <v>7724.82</v>
      </c>
      <c r="X138" s="370">
        <v>29360.18</v>
      </c>
      <c r="Y138" s="68">
        <f t="shared" si="138"/>
        <v>29360.18</v>
      </c>
      <c r="Z138" s="345" t="s">
        <v>1076</v>
      </c>
      <c r="AA138" s="385" t="s">
        <v>329</v>
      </c>
      <c r="AB138" s="345">
        <v>21635.360000000001</v>
      </c>
      <c r="AC138" s="345">
        <v>7724.82</v>
      </c>
      <c r="AD138" s="345">
        <v>29360.18</v>
      </c>
      <c r="AE138" s="68">
        <f t="shared" si="139"/>
        <v>29360.18</v>
      </c>
      <c r="AF138" s="364" t="s">
        <v>1265</v>
      </c>
      <c r="AG138" s="344"/>
      <c r="AH138" s="84"/>
      <c r="AI138" s="63"/>
      <c r="AJ138" s="63"/>
      <c r="AK138" s="63" t="str">
        <f t="shared" si="140"/>
        <v>V</v>
      </c>
      <c r="AL138" s="47"/>
      <c r="AM138" s="63" t="str">
        <f t="shared" si="141"/>
        <v>2</v>
      </c>
      <c r="AN138" s="63" t="str">
        <f t="shared" si="142"/>
        <v>2</v>
      </c>
      <c r="AO138" s="63"/>
      <c r="AP138" s="346" t="str">
        <f t="shared" si="143"/>
        <v>1</v>
      </c>
      <c r="AQ138" s="63" t="str">
        <f t="shared" si="144"/>
        <v>2.2..1</v>
      </c>
      <c r="AR138" s="534"/>
      <c r="AS138" s="64" t="s">
        <v>1996</v>
      </c>
      <c r="AT138" s="95">
        <v>13327.88</v>
      </c>
      <c r="AU138" s="95">
        <v>29360.74</v>
      </c>
      <c r="AV138" s="371">
        <f t="shared" si="148"/>
        <v>2.2029565092122683</v>
      </c>
      <c r="AW138" s="95">
        <v>13326</v>
      </c>
      <c r="AX138" s="368">
        <f t="shared" si="149"/>
        <v>0.9998589423074038</v>
      </c>
      <c r="AY138" s="95">
        <v>2</v>
      </c>
      <c r="AZ138" s="371">
        <f t="shared" si="150"/>
        <v>1.500613751024169E-4</v>
      </c>
      <c r="BA138" s="47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</row>
    <row r="139" spans="1:68" ht="20.25" customHeight="1">
      <c r="A139" s="100">
        <v>16</v>
      </c>
      <c r="B139" s="100" t="s">
        <v>39</v>
      </c>
      <c r="C139" s="100" t="s">
        <v>1997</v>
      </c>
      <c r="D139" s="102" t="s">
        <v>330</v>
      </c>
      <c r="E139" s="100" t="str">
        <f t="shared" si="0"/>
        <v>Sama</v>
      </c>
      <c r="F139" s="63">
        <f t="shared" si="134"/>
        <v>126</v>
      </c>
      <c r="G139" s="63">
        <v>11</v>
      </c>
      <c r="H139" s="62" t="s">
        <v>39</v>
      </c>
      <c r="I139" s="62" t="s">
        <v>330</v>
      </c>
      <c r="J139" s="66">
        <v>2259.7747604169817</v>
      </c>
      <c r="K139" s="533" t="s">
        <v>123</v>
      </c>
      <c r="L139" s="68">
        <f t="shared" si="135"/>
        <v>0</v>
      </c>
      <c r="M139" s="63"/>
      <c r="N139" s="365">
        <f t="shared" si="136"/>
        <v>2018</v>
      </c>
      <c r="O139" s="382" t="s">
        <v>1267</v>
      </c>
      <c r="P139" s="68"/>
      <c r="Q139" s="68"/>
      <c r="R139" s="68"/>
      <c r="S139" s="68">
        <f t="shared" si="137"/>
        <v>0</v>
      </c>
      <c r="T139" s="63"/>
      <c r="U139" s="347" t="s">
        <v>331</v>
      </c>
      <c r="V139" s="370">
        <v>0</v>
      </c>
      <c r="W139" s="370">
        <v>0</v>
      </c>
      <c r="X139" s="370">
        <v>0</v>
      </c>
      <c r="Y139" s="68">
        <f t="shared" si="138"/>
        <v>0</v>
      </c>
      <c r="Z139" s="345"/>
      <c r="AA139" s="347"/>
      <c r="AB139" s="345"/>
      <c r="AC139" s="345"/>
      <c r="AD139" s="345"/>
      <c r="AE139" s="68">
        <f t="shared" si="139"/>
        <v>0</v>
      </c>
      <c r="AF139" s="366" t="s">
        <v>1097</v>
      </c>
      <c r="AG139" s="358"/>
      <c r="AH139" s="359"/>
      <c r="AI139" s="360"/>
      <c r="AJ139" s="360"/>
      <c r="AK139" s="360" t="str">
        <f t="shared" si="140"/>
        <v/>
      </c>
      <c r="AL139" s="18"/>
      <c r="AM139" s="360" t="str">
        <f t="shared" si="141"/>
        <v>2</v>
      </c>
      <c r="AN139" s="360" t="str">
        <f t="shared" si="142"/>
        <v>2</v>
      </c>
      <c r="AO139" s="360"/>
      <c r="AP139" s="346" t="str">
        <f t="shared" si="143"/>
        <v>2</v>
      </c>
      <c r="AQ139" s="360" t="str">
        <f t="shared" si="144"/>
        <v>2.2..2</v>
      </c>
      <c r="AR139" s="530"/>
      <c r="AS139" s="360"/>
      <c r="AT139" s="362"/>
      <c r="AU139" s="362"/>
      <c r="AV139" s="362"/>
      <c r="AW139" s="362"/>
      <c r="AX139" s="362"/>
      <c r="AY139" s="362"/>
      <c r="AZ139" s="362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</row>
    <row r="140" spans="1:68" ht="20.25" customHeight="1">
      <c r="A140" s="100">
        <v>16</v>
      </c>
      <c r="B140" s="100" t="s">
        <v>39</v>
      </c>
      <c r="C140" s="369">
        <v>45215</v>
      </c>
      <c r="D140" s="102" t="s">
        <v>333</v>
      </c>
      <c r="E140" s="100" t="str">
        <f t="shared" si="0"/>
        <v>Sama</v>
      </c>
      <c r="F140" s="63">
        <f t="shared" si="134"/>
        <v>127</v>
      </c>
      <c r="G140" s="63">
        <v>12</v>
      </c>
      <c r="H140" s="62" t="s">
        <v>39</v>
      </c>
      <c r="I140" s="62" t="s">
        <v>333</v>
      </c>
      <c r="J140" s="66">
        <v>30934.543695174758</v>
      </c>
      <c r="K140" s="533" t="s">
        <v>104</v>
      </c>
      <c r="L140" s="68">
        <f t="shared" si="135"/>
        <v>64.606999999999999</v>
      </c>
      <c r="M140" s="63"/>
      <c r="N140" s="365">
        <f t="shared" si="136"/>
        <v>2012</v>
      </c>
      <c r="O140" s="382" t="s">
        <v>315</v>
      </c>
      <c r="P140" s="68"/>
      <c r="Q140" s="68"/>
      <c r="R140" s="68"/>
      <c r="S140" s="68">
        <f t="shared" si="137"/>
        <v>0</v>
      </c>
      <c r="T140" s="63"/>
      <c r="U140" s="347" t="s">
        <v>926</v>
      </c>
      <c r="V140" s="370">
        <v>64.606999999999999</v>
      </c>
      <c r="W140" s="370">
        <v>0</v>
      </c>
      <c r="X140" s="370">
        <v>64.606999999999999</v>
      </c>
      <c r="Y140" s="68">
        <f t="shared" si="138"/>
        <v>64.606999999999999</v>
      </c>
      <c r="Z140" s="345"/>
      <c r="AA140" s="531" t="s">
        <v>334</v>
      </c>
      <c r="AB140" s="345">
        <v>30934.55</v>
      </c>
      <c r="AC140" s="345"/>
      <c r="AD140" s="345"/>
      <c r="AE140" s="68">
        <f t="shared" si="139"/>
        <v>30934.55</v>
      </c>
      <c r="AF140" s="366" t="s">
        <v>1097</v>
      </c>
      <c r="AG140" s="358"/>
      <c r="AH140" s="359"/>
      <c r="AI140" s="360"/>
      <c r="AJ140" s="360"/>
      <c r="AK140" s="360" t="str">
        <f t="shared" si="140"/>
        <v/>
      </c>
      <c r="AL140" s="18"/>
      <c r="AM140" s="360" t="str">
        <f t="shared" si="141"/>
        <v>2</v>
      </c>
      <c r="AN140" s="360" t="str">
        <f t="shared" si="142"/>
        <v>2</v>
      </c>
      <c r="AO140" s="360"/>
      <c r="AP140" s="346" t="str">
        <f t="shared" si="143"/>
        <v>1</v>
      </c>
      <c r="AQ140" s="360" t="str">
        <f t="shared" si="144"/>
        <v>2.2..1</v>
      </c>
      <c r="AR140" s="530"/>
      <c r="AS140" s="360"/>
      <c r="AT140" s="362"/>
      <c r="AU140" s="362"/>
      <c r="AV140" s="362"/>
      <c r="AW140" s="362"/>
      <c r="AX140" s="362"/>
      <c r="AY140" s="362"/>
      <c r="AZ140" s="362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</row>
    <row r="141" spans="1:68" ht="20.25" customHeight="1">
      <c r="A141" s="100">
        <v>16</v>
      </c>
      <c r="B141" s="100" t="s">
        <v>39</v>
      </c>
      <c r="C141" s="363">
        <v>44973</v>
      </c>
      <c r="D141" s="102" t="s">
        <v>335</v>
      </c>
      <c r="E141" s="100" t="str">
        <f t="shared" si="0"/>
        <v>Sama</v>
      </c>
      <c r="F141" s="63">
        <f t="shared" si="134"/>
        <v>128</v>
      </c>
      <c r="G141" s="63">
        <v>13</v>
      </c>
      <c r="H141" s="62" t="s">
        <v>39</v>
      </c>
      <c r="I141" s="62" t="s">
        <v>335</v>
      </c>
      <c r="J141" s="66">
        <v>97345.594411866899</v>
      </c>
      <c r="K141" s="533" t="s">
        <v>104</v>
      </c>
      <c r="L141" s="68">
        <f t="shared" si="135"/>
        <v>11500</v>
      </c>
      <c r="M141" s="63"/>
      <c r="N141" s="365">
        <f t="shared" si="136"/>
        <v>2013</v>
      </c>
      <c r="O141" s="382" t="s">
        <v>941</v>
      </c>
      <c r="P141" s="68">
        <v>11500</v>
      </c>
      <c r="Q141" s="68">
        <v>0</v>
      </c>
      <c r="R141" s="68">
        <v>11500</v>
      </c>
      <c r="S141" s="68">
        <f t="shared" si="137"/>
        <v>11500</v>
      </c>
      <c r="T141" s="63"/>
      <c r="U141" s="347"/>
      <c r="V141" s="370"/>
      <c r="W141" s="370"/>
      <c r="X141" s="370"/>
      <c r="Y141" s="68">
        <f t="shared" si="138"/>
        <v>0</v>
      </c>
      <c r="Z141" s="345"/>
      <c r="AA141" s="347"/>
      <c r="AB141" s="345"/>
      <c r="AC141" s="345"/>
      <c r="AD141" s="345"/>
      <c r="AE141" s="68">
        <f t="shared" si="139"/>
        <v>0</v>
      </c>
      <c r="AF141" s="366">
        <v>2021</v>
      </c>
      <c r="AG141" s="358"/>
      <c r="AH141" s="359"/>
      <c r="AI141" s="360"/>
      <c r="AJ141" s="360" t="s">
        <v>1270</v>
      </c>
      <c r="AK141" s="360" t="str">
        <f t="shared" si="140"/>
        <v/>
      </c>
      <c r="AL141" s="18"/>
      <c r="AM141" s="360" t="str">
        <f t="shared" si="141"/>
        <v>2</v>
      </c>
      <c r="AN141" s="360" t="str">
        <f t="shared" si="142"/>
        <v>1</v>
      </c>
      <c r="AO141" s="360"/>
      <c r="AP141" s="346" t="str">
        <f t="shared" si="143"/>
        <v>2</v>
      </c>
      <c r="AQ141" s="360" t="str">
        <f t="shared" si="144"/>
        <v>2.1..2</v>
      </c>
      <c r="AR141" s="530"/>
      <c r="AS141" s="360"/>
      <c r="AT141" s="362"/>
      <c r="AU141" s="362"/>
      <c r="AV141" s="362"/>
      <c r="AW141" s="362"/>
      <c r="AX141" s="362"/>
      <c r="AY141" s="362"/>
      <c r="AZ141" s="362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</row>
    <row r="142" spans="1:68" ht="20.25" customHeight="1">
      <c r="A142" s="100">
        <v>16</v>
      </c>
      <c r="B142" s="100" t="s">
        <v>39</v>
      </c>
      <c r="C142" s="363">
        <v>44942</v>
      </c>
      <c r="D142" s="102" t="s">
        <v>337</v>
      </c>
      <c r="E142" s="100" t="str">
        <f t="shared" si="0"/>
        <v>Sama</v>
      </c>
      <c r="F142" s="63">
        <f t="shared" si="134"/>
        <v>129</v>
      </c>
      <c r="G142" s="63">
        <v>14</v>
      </c>
      <c r="H142" s="62" t="s">
        <v>39</v>
      </c>
      <c r="I142" s="62" t="s">
        <v>337</v>
      </c>
      <c r="J142" s="66">
        <v>3837.0460457090276</v>
      </c>
      <c r="K142" s="533" t="s">
        <v>123</v>
      </c>
      <c r="L142" s="68">
        <f t="shared" si="135"/>
        <v>0</v>
      </c>
      <c r="M142" s="63"/>
      <c r="N142" s="365">
        <f t="shared" si="136"/>
        <v>2012</v>
      </c>
      <c r="O142" s="382" t="s">
        <v>338</v>
      </c>
      <c r="P142" s="68"/>
      <c r="Q142" s="68"/>
      <c r="R142" s="68"/>
      <c r="S142" s="68">
        <f t="shared" si="137"/>
        <v>0</v>
      </c>
      <c r="T142" s="63"/>
      <c r="U142" s="347"/>
      <c r="V142" s="370"/>
      <c r="W142" s="370"/>
      <c r="X142" s="370"/>
      <c r="Y142" s="68">
        <f t="shared" si="138"/>
        <v>0</v>
      </c>
      <c r="Z142" s="345"/>
      <c r="AA142" s="347"/>
      <c r="AB142" s="345"/>
      <c r="AC142" s="345"/>
      <c r="AD142" s="345"/>
      <c r="AE142" s="68">
        <f t="shared" si="139"/>
        <v>0</v>
      </c>
      <c r="AF142" s="366" t="s">
        <v>1097</v>
      </c>
      <c r="AG142" s="358"/>
      <c r="AH142" s="359"/>
      <c r="AI142" s="360"/>
      <c r="AJ142" s="360"/>
      <c r="AK142" s="360" t="str">
        <f t="shared" si="140"/>
        <v/>
      </c>
      <c r="AL142" s="18"/>
      <c r="AM142" s="360" t="str">
        <f t="shared" si="141"/>
        <v>2</v>
      </c>
      <c r="AN142" s="360" t="str">
        <f t="shared" si="142"/>
        <v>2</v>
      </c>
      <c r="AO142" s="360"/>
      <c r="AP142" s="346" t="str">
        <f t="shared" si="143"/>
        <v>2</v>
      </c>
      <c r="AQ142" s="360" t="str">
        <f t="shared" si="144"/>
        <v>2.2..2</v>
      </c>
      <c r="AR142" s="530"/>
      <c r="AS142" s="360"/>
      <c r="AT142" s="362"/>
      <c r="AU142" s="362"/>
      <c r="AV142" s="362"/>
      <c r="AW142" s="362"/>
      <c r="AX142" s="362"/>
      <c r="AY142" s="362"/>
      <c r="AZ142" s="362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</row>
    <row r="143" spans="1:68" ht="20.25" customHeight="1">
      <c r="A143" s="100">
        <v>16</v>
      </c>
      <c r="B143" s="100" t="s">
        <v>39</v>
      </c>
      <c r="C143" s="363">
        <v>45185</v>
      </c>
      <c r="D143" s="102" t="s">
        <v>339</v>
      </c>
      <c r="E143" s="100" t="str">
        <f t="shared" si="0"/>
        <v>Sama</v>
      </c>
      <c r="F143" s="63">
        <f t="shared" si="134"/>
        <v>130</v>
      </c>
      <c r="G143" s="63">
        <v>15</v>
      </c>
      <c r="H143" s="62" t="s">
        <v>39</v>
      </c>
      <c r="I143" s="62" t="s">
        <v>339</v>
      </c>
      <c r="J143" s="66">
        <v>7178.015909517605</v>
      </c>
      <c r="K143" s="533" t="s">
        <v>91</v>
      </c>
      <c r="L143" s="68">
        <f t="shared" si="135"/>
        <v>8710</v>
      </c>
      <c r="M143" s="63"/>
      <c r="N143" s="365">
        <f t="shared" si="136"/>
        <v>2021</v>
      </c>
      <c r="O143" s="382" t="s">
        <v>265</v>
      </c>
      <c r="P143" s="68">
        <v>0</v>
      </c>
      <c r="Q143" s="68">
        <v>0</v>
      </c>
      <c r="R143" s="68">
        <v>8710</v>
      </c>
      <c r="S143" s="68">
        <f t="shared" si="137"/>
        <v>8710</v>
      </c>
      <c r="T143" s="63"/>
      <c r="U143" s="347"/>
      <c r="V143" s="370"/>
      <c r="W143" s="370"/>
      <c r="X143" s="370"/>
      <c r="Y143" s="68">
        <f t="shared" si="138"/>
        <v>0</v>
      </c>
      <c r="Z143" s="345"/>
      <c r="AA143" s="347"/>
      <c r="AB143" s="345"/>
      <c r="AC143" s="345"/>
      <c r="AD143" s="345"/>
      <c r="AE143" s="68">
        <f t="shared" si="139"/>
        <v>0</v>
      </c>
      <c r="AF143" s="366" t="s">
        <v>1097</v>
      </c>
      <c r="AG143" s="358"/>
      <c r="AH143" s="359"/>
      <c r="AI143" s="360"/>
      <c r="AJ143" s="360"/>
      <c r="AK143" s="360" t="str">
        <f t="shared" si="140"/>
        <v/>
      </c>
      <c r="AL143" s="18"/>
      <c r="AM143" s="360" t="str">
        <f t="shared" si="141"/>
        <v>1</v>
      </c>
      <c r="AN143" s="360" t="str">
        <f t="shared" si="142"/>
        <v>1</v>
      </c>
      <c r="AO143" s="360"/>
      <c r="AP143" s="346" t="str">
        <f t="shared" si="143"/>
        <v>2</v>
      </c>
      <c r="AQ143" s="360" t="str">
        <f t="shared" si="144"/>
        <v>1.1..2</v>
      </c>
      <c r="AR143" s="530"/>
      <c r="AS143" s="398" t="str">
        <f>O143</f>
        <v>Perda No. 3 Tahun 2021</v>
      </c>
      <c r="AT143" s="359">
        <f>J143</f>
        <v>7178.015909517605</v>
      </c>
      <c r="AU143" s="359">
        <f>S143</f>
        <v>8710</v>
      </c>
      <c r="AV143" s="371">
        <f t="shared" ref="AV143:AV144" si="151">AU143/AT143</f>
        <v>1.2134272352964666</v>
      </c>
      <c r="AW143" s="367">
        <v>5757.2544180000004</v>
      </c>
      <c r="AX143" s="368">
        <f t="shared" ref="AX143:AX144" si="152">AW143/AT143</f>
        <v>0.80206765916556932</v>
      </c>
      <c r="AY143" s="359">
        <f>AT143-AW143</f>
        <v>1420.7614915176046</v>
      </c>
      <c r="AZ143" s="371">
        <f t="shared" ref="AZ143:AZ144" si="153">AY143/AT143</f>
        <v>0.19793234083443068</v>
      </c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</row>
    <row r="144" spans="1:68" ht="20.25" customHeight="1">
      <c r="A144" s="100">
        <v>16</v>
      </c>
      <c r="B144" s="100" t="s">
        <v>39</v>
      </c>
      <c r="C144" s="363">
        <v>45154</v>
      </c>
      <c r="D144" s="102" t="s">
        <v>340</v>
      </c>
      <c r="E144" s="100" t="str">
        <f t="shared" si="0"/>
        <v>Sama</v>
      </c>
      <c r="F144" s="63">
        <f t="shared" si="134"/>
        <v>131</v>
      </c>
      <c r="G144" s="63">
        <v>16</v>
      </c>
      <c r="H144" s="62" t="s">
        <v>39</v>
      </c>
      <c r="I144" s="62" t="s">
        <v>340</v>
      </c>
      <c r="J144" s="66">
        <v>59522.132234532728</v>
      </c>
      <c r="K144" s="533" t="s">
        <v>91</v>
      </c>
      <c r="L144" s="68">
        <f t="shared" si="135"/>
        <v>165498</v>
      </c>
      <c r="M144" s="63" t="s">
        <v>1076</v>
      </c>
      <c r="N144" s="365">
        <f t="shared" si="136"/>
        <v>2021</v>
      </c>
      <c r="O144" s="347" t="s">
        <v>289</v>
      </c>
      <c r="P144" s="370">
        <v>0</v>
      </c>
      <c r="Q144" s="370">
        <v>0</v>
      </c>
      <c r="R144" s="370">
        <v>165498</v>
      </c>
      <c r="S144" s="68">
        <f t="shared" si="137"/>
        <v>165498</v>
      </c>
      <c r="T144" s="63"/>
      <c r="U144" s="347"/>
      <c r="V144" s="370"/>
      <c r="W144" s="370"/>
      <c r="X144" s="370"/>
      <c r="Y144" s="68">
        <f t="shared" si="138"/>
        <v>0</v>
      </c>
      <c r="Z144" s="345"/>
      <c r="AA144" s="347"/>
      <c r="AB144" s="345"/>
      <c r="AC144" s="345"/>
      <c r="AD144" s="345"/>
      <c r="AE144" s="68">
        <f t="shared" si="139"/>
        <v>0</v>
      </c>
      <c r="AF144" s="366">
        <v>2020</v>
      </c>
      <c r="AG144" s="358"/>
      <c r="AH144" s="359"/>
      <c r="AI144" s="360"/>
      <c r="AJ144" s="360" t="s">
        <v>1274</v>
      </c>
      <c r="AK144" s="360" t="str">
        <f t="shared" si="140"/>
        <v>V</v>
      </c>
      <c r="AL144" s="18"/>
      <c r="AM144" s="360" t="str">
        <f t="shared" si="141"/>
        <v>1</v>
      </c>
      <c r="AN144" s="360" t="str">
        <f t="shared" si="142"/>
        <v>1</v>
      </c>
      <c r="AO144" s="360"/>
      <c r="AP144" s="346" t="str">
        <f t="shared" si="143"/>
        <v>2</v>
      </c>
      <c r="AQ144" s="360" t="str">
        <f t="shared" si="144"/>
        <v>1.1..2</v>
      </c>
      <c r="AR144" s="530"/>
      <c r="AS144" s="362" t="s">
        <v>289</v>
      </c>
      <c r="AT144" s="367">
        <v>59394</v>
      </c>
      <c r="AU144" s="367">
        <v>165622</v>
      </c>
      <c r="AV144" s="371">
        <f t="shared" si="151"/>
        <v>2.7885308280297672</v>
      </c>
      <c r="AW144" s="367">
        <v>55850</v>
      </c>
      <c r="AX144" s="368">
        <f t="shared" si="152"/>
        <v>0.94033067313196617</v>
      </c>
      <c r="AY144" s="367">
        <v>3544</v>
      </c>
      <c r="AZ144" s="368">
        <f t="shared" si="153"/>
        <v>5.9669326868033806E-2</v>
      </c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</row>
    <row r="145" spans="1:68" ht="20.25" customHeight="1">
      <c r="A145" s="100">
        <v>16</v>
      </c>
      <c r="B145" s="100" t="s">
        <v>39</v>
      </c>
      <c r="C145" s="369">
        <v>45276</v>
      </c>
      <c r="D145" s="102" t="s">
        <v>341</v>
      </c>
      <c r="E145" s="100" t="str">
        <f t="shared" si="0"/>
        <v>Sama</v>
      </c>
      <c r="F145" s="63">
        <f t="shared" si="134"/>
        <v>132</v>
      </c>
      <c r="G145" s="63">
        <v>17</v>
      </c>
      <c r="H145" s="62" t="s">
        <v>39</v>
      </c>
      <c r="I145" s="62" t="s">
        <v>341</v>
      </c>
      <c r="J145" s="66">
        <v>3691.2151736351102</v>
      </c>
      <c r="K145" s="533" t="s">
        <v>123</v>
      </c>
      <c r="L145" s="68">
        <f t="shared" si="135"/>
        <v>0</v>
      </c>
      <c r="M145" s="63"/>
      <c r="N145" s="365">
        <f t="shared" si="136"/>
        <v>2018</v>
      </c>
      <c r="O145" s="347" t="s">
        <v>151</v>
      </c>
      <c r="P145" s="370"/>
      <c r="Q145" s="370"/>
      <c r="R145" s="370"/>
      <c r="S145" s="68">
        <f t="shared" si="137"/>
        <v>0</v>
      </c>
      <c r="T145" s="63"/>
      <c r="U145" s="347"/>
      <c r="V145" s="370"/>
      <c r="W145" s="370"/>
      <c r="X145" s="370"/>
      <c r="Y145" s="68">
        <f t="shared" si="138"/>
        <v>0</v>
      </c>
      <c r="Z145" s="345"/>
      <c r="AA145" s="347"/>
      <c r="AB145" s="345"/>
      <c r="AC145" s="345"/>
      <c r="AD145" s="345"/>
      <c r="AE145" s="68">
        <f t="shared" si="139"/>
        <v>0</v>
      </c>
      <c r="AF145" s="366" t="s">
        <v>1097</v>
      </c>
      <c r="AG145" s="358"/>
      <c r="AH145" s="359"/>
      <c r="AI145" s="360"/>
      <c r="AJ145" s="360"/>
      <c r="AK145" s="360" t="str">
        <f t="shared" si="140"/>
        <v/>
      </c>
      <c r="AL145" s="18"/>
      <c r="AM145" s="360" t="str">
        <f>IF(N145=0,"3",IF(N145&lt;=2018,"2","1"))</f>
        <v>2</v>
      </c>
      <c r="AN145" s="360" t="str">
        <f t="shared" si="142"/>
        <v>2</v>
      </c>
      <c r="AO145" s="360"/>
      <c r="AP145" s="346" t="str">
        <f t="shared" si="143"/>
        <v>2</v>
      </c>
      <c r="AQ145" s="360" t="str">
        <f t="shared" si="144"/>
        <v>2.2..2</v>
      </c>
      <c r="AR145" s="530"/>
      <c r="AS145" s="360"/>
      <c r="AT145" s="362"/>
      <c r="AU145" s="362"/>
      <c r="AV145" s="362"/>
      <c r="AW145" s="362"/>
      <c r="AX145" s="362"/>
      <c r="AY145" s="362"/>
      <c r="AZ145" s="362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</row>
    <row r="146" spans="1:68" ht="20.25" customHeight="1">
      <c r="A146" s="100">
        <v>19</v>
      </c>
      <c r="B146" s="100" t="s">
        <v>42</v>
      </c>
      <c r="C146" s="100">
        <v>19</v>
      </c>
      <c r="D146" s="102" t="s">
        <v>1998</v>
      </c>
      <c r="E146" s="100" t="str">
        <f t="shared" si="0"/>
        <v>Sama</v>
      </c>
      <c r="F146" s="63"/>
      <c r="G146" s="341"/>
      <c r="H146" s="379"/>
      <c r="I146" s="379" t="s">
        <v>1998</v>
      </c>
      <c r="J146" s="380">
        <f>SUM(J147:J153)</f>
        <v>22402.263944410453</v>
      </c>
      <c r="K146" s="353">
        <f>COUNTIF(K147:K153,"D") + COUNTIF(K147:K153,"DS")</f>
        <v>6</v>
      </c>
      <c r="L146" s="383">
        <f>SUBTOTAL(9,L147:L153)</f>
        <v>25945.31</v>
      </c>
      <c r="M146" s="342"/>
      <c r="N146" s="355"/>
      <c r="O146" s="356"/>
      <c r="P146" s="383">
        <f>SUBTOTAL(9,P147:P153)</f>
        <v>18911.34</v>
      </c>
      <c r="Q146" s="383">
        <f t="shared" ref="Q146:S146" si="154">SUBTOTAL(9,Q149:Q152)</f>
        <v>0</v>
      </c>
      <c r="R146" s="383">
        <f t="shared" si="154"/>
        <v>18911.34</v>
      </c>
      <c r="S146" s="383">
        <f t="shared" si="154"/>
        <v>18911.34</v>
      </c>
      <c r="T146" s="342"/>
      <c r="U146" s="351"/>
      <c r="V146" s="384">
        <v>16211.89</v>
      </c>
      <c r="W146" s="384">
        <v>19466.52</v>
      </c>
      <c r="X146" s="384">
        <v>35391.800000000003</v>
      </c>
      <c r="Y146" s="383">
        <f>SUBTOTAL(9,Y149:Y152)</f>
        <v>36407.19</v>
      </c>
      <c r="Z146" s="337"/>
      <c r="AA146" s="351">
        <v>4</v>
      </c>
      <c r="AB146" s="337">
        <v>16211.89</v>
      </c>
      <c r="AC146" s="337">
        <v>19466.52</v>
      </c>
      <c r="AD146" s="337">
        <v>35391.800000000003</v>
      </c>
      <c r="AE146" s="383">
        <f>SUBTOTAL(9,AE149:AE152)</f>
        <v>35000</v>
      </c>
      <c r="AF146" s="357" t="s">
        <v>1138</v>
      </c>
      <c r="AG146" s="358"/>
      <c r="AH146" s="359"/>
      <c r="AI146" s="360"/>
      <c r="AJ146" s="360"/>
      <c r="AK146" s="361">
        <f>COUNTIF(AK147:AK153,"V") + COUNTIF(AK147:AK153,"VV") + COUNTIF(AK147:AK153,"VVV")</f>
        <v>2</v>
      </c>
      <c r="AL146" s="18"/>
      <c r="AM146" s="360"/>
      <c r="AN146" s="360"/>
      <c r="AO146" s="360"/>
      <c r="AP146" s="346"/>
      <c r="AQ146" s="360"/>
      <c r="AR146" s="530"/>
      <c r="AS146" s="360"/>
      <c r="AT146" s="362"/>
      <c r="AU146" s="362"/>
      <c r="AV146" s="362"/>
      <c r="AW146" s="362"/>
      <c r="AX146" s="362"/>
      <c r="AY146" s="362"/>
      <c r="AZ146" s="362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</row>
    <row r="147" spans="1:68" ht="20.25" customHeight="1">
      <c r="A147" s="100">
        <v>19</v>
      </c>
      <c r="B147" s="100" t="s">
        <v>42</v>
      </c>
      <c r="C147" s="363">
        <v>44945</v>
      </c>
      <c r="D147" s="102" t="s">
        <v>342</v>
      </c>
      <c r="E147" s="100" t="str">
        <f t="shared" si="0"/>
        <v>Sama</v>
      </c>
      <c r="F147" s="63">
        <f t="shared" ref="F147:F152" si="155">SUBTOTAL(3,$G$7:G147)</f>
        <v>133</v>
      </c>
      <c r="G147" s="63">
        <v>1</v>
      </c>
      <c r="H147" s="64" t="s">
        <v>42</v>
      </c>
      <c r="I147" s="64" t="s">
        <v>342</v>
      </c>
      <c r="J147" s="84">
        <v>2440.2012506995979</v>
      </c>
      <c r="K147" s="533" t="s">
        <v>104</v>
      </c>
      <c r="L147" s="68">
        <f t="shared" ref="L147:L153" si="156">IF(S147&gt;0,S147,IF(Y147&gt;0,Y147,IF(AE147&gt;0,AE147,0)))</f>
        <v>2925</v>
      </c>
      <c r="M147" s="387"/>
      <c r="N147" s="392">
        <f t="shared" ref="N147:N153" si="157">VALUE(RIGHT(O147,4))</f>
        <v>2013</v>
      </c>
      <c r="O147" s="382" t="s">
        <v>759</v>
      </c>
      <c r="P147" s="388"/>
      <c r="Q147" s="388"/>
      <c r="R147" s="388"/>
      <c r="S147" s="68">
        <f t="shared" ref="S147:S153" si="158">IF(R147&gt;0,R147,IF(P147&gt;0,P147,0))</f>
        <v>0</v>
      </c>
      <c r="T147" s="387"/>
      <c r="U147" s="389"/>
      <c r="V147" s="390"/>
      <c r="W147" s="390"/>
      <c r="X147" s="390"/>
      <c r="Y147" s="68">
        <f t="shared" ref="Y147:Y151" si="159">IF(X147&gt;0,X147,IF(V147&gt;0,V147,0))</f>
        <v>0</v>
      </c>
      <c r="Z147" s="391"/>
      <c r="AA147" s="347" t="s">
        <v>343</v>
      </c>
      <c r="AB147" s="63">
        <v>2925</v>
      </c>
      <c r="AC147" s="345"/>
      <c r="AD147" s="345"/>
      <c r="AE147" s="68">
        <f t="shared" ref="AE147:AE151" si="160">IF(AD147&gt;0,AD147,IF(AB147&gt;0,AB147,0))</f>
        <v>2925</v>
      </c>
      <c r="AF147" s="366" t="s">
        <v>1097</v>
      </c>
      <c r="AG147" s="358"/>
      <c r="AH147" s="359"/>
      <c r="AI147" s="360"/>
      <c r="AJ147" s="360"/>
      <c r="AK147" s="360" t="str">
        <f t="shared" ref="AK147:AK153" si="161">CONCATENATE(M147,T147,Z147)</f>
        <v/>
      </c>
      <c r="AL147" s="18"/>
      <c r="AM147" s="360" t="str">
        <f t="shared" ref="AM147:AM153" si="162">IF(N147=0,"3",IF(N147&lt;=2018,"2","1"))</f>
        <v>2</v>
      </c>
      <c r="AN147" s="360" t="str">
        <f t="shared" ref="AN147:AN153" si="163">IF(S147&gt;0,"1","2")</f>
        <v>2</v>
      </c>
      <c r="AO147" s="360"/>
      <c r="AP147" s="346" t="str">
        <f t="shared" ref="AP147:AP153" si="164">IF(Y147&gt;0,"1",IF(AE147&gt;0,"1","2"))</f>
        <v>1</v>
      </c>
      <c r="AQ147" s="360" t="str">
        <f t="shared" ref="AQ147:AQ153" si="165">CONCATENATE(AM147,".",AN147,".",AO147,".",AP147)</f>
        <v>2.2..1</v>
      </c>
      <c r="AR147" s="530"/>
      <c r="AS147" s="360"/>
      <c r="AT147" s="362"/>
      <c r="AU147" s="362"/>
      <c r="AV147" s="362"/>
      <c r="AW147" s="362"/>
      <c r="AX147" s="362"/>
      <c r="AY147" s="362"/>
      <c r="AZ147" s="362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</row>
    <row r="148" spans="1:68" ht="20.25" customHeight="1">
      <c r="A148" s="100">
        <v>19</v>
      </c>
      <c r="B148" s="100" t="s">
        <v>42</v>
      </c>
      <c r="C148" s="363">
        <v>45065</v>
      </c>
      <c r="D148" s="102" t="s">
        <v>344</v>
      </c>
      <c r="E148" s="100" t="str">
        <f t="shared" si="0"/>
        <v>Sama</v>
      </c>
      <c r="F148" s="63">
        <f t="shared" si="155"/>
        <v>134</v>
      </c>
      <c r="G148" s="63">
        <v>2</v>
      </c>
      <c r="H148" s="64" t="s">
        <v>42</v>
      </c>
      <c r="I148" s="64" t="s">
        <v>344</v>
      </c>
      <c r="J148" s="84">
        <v>2679.9560399283041</v>
      </c>
      <c r="K148" s="533" t="s">
        <v>104</v>
      </c>
      <c r="L148" s="68">
        <f t="shared" si="156"/>
        <v>2701.78</v>
      </c>
      <c r="M148" s="387"/>
      <c r="N148" s="392">
        <f t="shared" si="157"/>
        <v>2014</v>
      </c>
      <c r="O148" s="382" t="s">
        <v>321</v>
      </c>
      <c r="P148" s="388"/>
      <c r="Q148" s="388"/>
      <c r="R148" s="388"/>
      <c r="S148" s="68">
        <f t="shared" si="158"/>
        <v>0</v>
      </c>
      <c r="T148" s="387"/>
      <c r="U148" s="389"/>
      <c r="V148" s="390"/>
      <c r="W148" s="390"/>
      <c r="X148" s="390"/>
      <c r="Y148" s="68">
        <f t="shared" si="159"/>
        <v>0</v>
      </c>
      <c r="Z148" s="391"/>
      <c r="AA148" s="347" t="s">
        <v>1325</v>
      </c>
      <c r="AB148" s="345">
        <v>2701.78</v>
      </c>
      <c r="AC148" s="391"/>
      <c r="AD148" s="391"/>
      <c r="AE148" s="68">
        <f t="shared" si="160"/>
        <v>2701.78</v>
      </c>
      <c r="AF148" s="366" t="s">
        <v>1097</v>
      </c>
      <c r="AG148" s="358"/>
      <c r="AH148" s="359"/>
      <c r="AI148" s="360"/>
      <c r="AJ148" s="360"/>
      <c r="AK148" s="360" t="str">
        <f t="shared" si="161"/>
        <v/>
      </c>
      <c r="AL148" s="18"/>
      <c r="AM148" s="360" t="str">
        <f t="shared" si="162"/>
        <v>2</v>
      </c>
      <c r="AN148" s="360" t="str">
        <f t="shared" si="163"/>
        <v>2</v>
      </c>
      <c r="AO148" s="360"/>
      <c r="AP148" s="346" t="str">
        <f t="shared" si="164"/>
        <v>1</v>
      </c>
      <c r="AQ148" s="360" t="str">
        <f t="shared" si="165"/>
        <v>2.2..1</v>
      </c>
      <c r="AR148" s="530"/>
      <c r="AS148" s="360"/>
      <c r="AT148" s="362"/>
      <c r="AU148" s="362"/>
      <c r="AV148" s="362"/>
      <c r="AW148" s="362"/>
      <c r="AX148" s="362"/>
      <c r="AY148" s="362"/>
      <c r="AZ148" s="362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</row>
    <row r="149" spans="1:68" ht="20.25" customHeight="1">
      <c r="A149" s="100">
        <v>19</v>
      </c>
      <c r="B149" s="100" t="s">
        <v>42</v>
      </c>
      <c r="C149" s="363">
        <v>45004</v>
      </c>
      <c r="D149" s="102" t="s">
        <v>346</v>
      </c>
      <c r="E149" s="100" t="str">
        <f t="shared" si="0"/>
        <v>Sama</v>
      </c>
      <c r="F149" s="63">
        <f t="shared" si="155"/>
        <v>135</v>
      </c>
      <c r="G149" s="63">
        <v>3</v>
      </c>
      <c r="H149" s="64" t="s">
        <v>42</v>
      </c>
      <c r="I149" s="62" t="s">
        <v>346</v>
      </c>
      <c r="J149" s="66">
        <v>13556.734387990884</v>
      </c>
      <c r="K149" s="533" t="s">
        <v>104</v>
      </c>
      <c r="L149" s="68">
        <f t="shared" si="156"/>
        <v>15869.34</v>
      </c>
      <c r="M149" s="63"/>
      <c r="N149" s="392">
        <f t="shared" si="157"/>
        <v>2014</v>
      </c>
      <c r="O149" s="382" t="s">
        <v>185</v>
      </c>
      <c r="P149" s="68">
        <v>15869.34</v>
      </c>
      <c r="Q149" s="68">
        <v>0</v>
      </c>
      <c r="R149" s="68">
        <v>15869.34</v>
      </c>
      <c r="S149" s="68">
        <f t="shared" si="158"/>
        <v>15869.34</v>
      </c>
      <c r="T149" s="63"/>
      <c r="U149" s="385" t="s">
        <v>1327</v>
      </c>
      <c r="V149" s="370">
        <v>15869.34</v>
      </c>
      <c r="W149" s="370">
        <v>19130.66</v>
      </c>
      <c r="X149" s="370">
        <v>35000</v>
      </c>
      <c r="Y149" s="68">
        <f t="shared" si="159"/>
        <v>35000</v>
      </c>
      <c r="Z149" s="345"/>
      <c r="AA149" s="385" t="s">
        <v>347</v>
      </c>
      <c r="AB149" s="345">
        <v>15869.34</v>
      </c>
      <c r="AC149" s="345">
        <v>19130.66</v>
      </c>
      <c r="AD149" s="345">
        <v>35000</v>
      </c>
      <c r="AE149" s="68">
        <f t="shared" si="160"/>
        <v>35000</v>
      </c>
      <c r="AF149" s="366" t="s">
        <v>1097</v>
      </c>
      <c r="AG149" s="358"/>
      <c r="AH149" s="359"/>
      <c r="AI149" s="360"/>
      <c r="AJ149" s="360"/>
      <c r="AK149" s="360" t="str">
        <f t="shared" si="161"/>
        <v/>
      </c>
      <c r="AL149" s="18"/>
      <c r="AM149" s="360" t="str">
        <f t="shared" si="162"/>
        <v>2</v>
      </c>
      <c r="AN149" s="360" t="str">
        <f t="shared" si="163"/>
        <v>1</v>
      </c>
      <c r="AO149" s="360"/>
      <c r="AP149" s="346" t="str">
        <f t="shared" si="164"/>
        <v>1</v>
      </c>
      <c r="AQ149" s="360" t="str">
        <f t="shared" si="165"/>
        <v>2.1..1</v>
      </c>
      <c r="AR149" s="530"/>
      <c r="AS149" s="360"/>
      <c r="AT149" s="362"/>
      <c r="AU149" s="362"/>
      <c r="AV149" s="362"/>
      <c r="AW149" s="362"/>
      <c r="AX149" s="362"/>
      <c r="AY149" s="362"/>
      <c r="AZ149" s="362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</row>
    <row r="150" spans="1:68" ht="20.25" customHeight="1">
      <c r="A150" s="100">
        <v>19</v>
      </c>
      <c r="B150" s="100" t="s">
        <v>42</v>
      </c>
      <c r="C150" s="363">
        <v>45035</v>
      </c>
      <c r="D150" s="102" t="s">
        <v>348</v>
      </c>
      <c r="E150" s="100" t="str">
        <f t="shared" si="0"/>
        <v>Sama</v>
      </c>
      <c r="F150" s="63">
        <f t="shared" si="155"/>
        <v>136</v>
      </c>
      <c r="G150" s="63">
        <v>4</v>
      </c>
      <c r="H150" s="64" t="s">
        <v>42</v>
      </c>
      <c r="I150" s="62" t="s">
        <v>348</v>
      </c>
      <c r="J150" s="66">
        <v>250.39411614609301</v>
      </c>
      <c r="K150" s="533" t="s">
        <v>91</v>
      </c>
      <c r="L150" s="68">
        <f t="shared" si="156"/>
        <v>391.8</v>
      </c>
      <c r="M150" s="63"/>
      <c r="N150" s="392">
        <f t="shared" si="157"/>
        <v>2019</v>
      </c>
      <c r="O150" s="382" t="s">
        <v>187</v>
      </c>
      <c r="P150" s="68"/>
      <c r="Q150" s="68"/>
      <c r="R150" s="68"/>
      <c r="S150" s="68">
        <f t="shared" si="158"/>
        <v>0</v>
      </c>
      <c r="T150" s="63" t="s">
        <v>1076</v>
      </c>
      <c r="U150" s="347" t="s">
        <v>349</v>
      </c>
      <c r="V150" s="370">
        <v>300.55</v>
      </c>
      <c r="W150" s="370">
        <v>91.25</v>
      </c>
      <c r="X150" s="370">
        <v>391.8</v>
      </c>
      <c r="Y150" s="68">
        <f t="shared" si="159"/>
        <v>391.8</v>
      </c>
      <c r="Z150" s="345"/>
      <c r="AA150" s="347"/>
      <c r="AB150" s="345"/>
      <c r="AC150" s="345"/>
      <c r="AD150" s="345"/>
      <c r="AE150" s="68">
        <f t="shared" si="160"/>
        <v>0</v>
      </c>
      <c r="AF150" s="366">
        <v>2020</v>
      </c>
      <c r="AG150" s="358"/>
      <c r="AH150" s="359"/>
      <c r="AI150" s="360"/>
      <c r="AJ150" s="360"/>
      <c r="AK150" s="360" t="str">
        <f t="shared" si="161"/>
        <v>V</v>
      </c>
      <c r="AL150" s="18"/>
      <c r="AM150" s="360" t="str">
        <f t="shared" si="162"/>
        <v>1</v>
      </c>
      <c r="AN150" s="360" t="str">
        <f t="shared" si="163"/>
        <v>2</v>
      </c>
      <c r="AO150" s="360"/>
      <c r="AP150" s="346" t="str">
        <f t="shared" si="164"/>
        <v>1</v>
      </c>
      <c r="AQ150" s="360" t="str">
        <f t="shared" si="165"/>
        <v>1.2..1</v>
      </c>
      <c r="AR150" s="530"/>
      <c r="AS150" s="362" t="s">
        <v>349</v>
      </c>
      <c r="AT150" s="362">
        <v>250</v>
      </c>
      <c r="AU150" s="362">
        <v>587</v>
      </c>
      <c r="AV150" s="368">
        <f t="shared" ref="AV150:AV151" si="166">AU150/AT150</f>
        <v>2.3479999999999999</v>
      </c>
      <c r="AW150" s="362">
        <v>162</v>
      </c>
      <c r="AX150" s="368">
        <f t="shared" ref="AX150:AX151" si="167">AW150/AT150</f>
        <v>0.64800000000000002</v>
      </c>
      <c r="AY150" s="362">
        <v>88</v>
      </c>
      <c r="AZ150" s="368">
        <f t="shared" ref="AZ150:AZ151" si="168">AY150/AT150</f>
        <v>0.35199999999999998</v>
      </c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</row>
    <row r="151" spans="1:68" ht="20.25" customHeight="1">
      <c r="A151" s="100">
        <v>19</v>
      </c>
      <c r="B151" s="100" t="s">
        <v>42</v>
      </c>
      <c r="C151" s="363">
        <v>44976</v>
      </c>
      <c r="D151" s="102" t="s">
        <v>350</v>
      </c>
      <c r="E151" s="100" t="str">
        <f t="shared" si="0"/>
        <v>Sama</v>
      </c>
      <c r="F151" s="63">
        <f t="shared" si="155"/>
        <v>137</v>
      </c>
      <c r="G151" s="63">
        <v>5</v>
      </c>
      <c r="H151" s="64" t="s">
        <v>42</v>
      </c>
      <c r="I151" s="62" t="s">
        <v>350</v>
      </c>
      <c r="J151" s="66">
        <v>983.45353349965865</v>
      </c>
      <c r="K151" s="533" t="s">
        <v>91</v>
      </c>
      <c r="L151" s="68">
        <f t="shared" si="156"/>
        <v>1015.39</v>
      </c>
      <c r="M151" s="63"/>
      <c r="N151" s="392">
        <f t="shared" si="157"/>
        <v>2014</v>
      </c>
      <c r="O151" s="382" t="s">
        <v>1330</v>
      </c>
      <c r="P151" s="68"/>
      <c r="Q151" s="68"/>
      <c r="R151" s="68"/>
      <c r="S151" s="68">
        <f t="shared" si="158"/>
        <v>0</v>
      </c>
      <c r="T151" s="63" t="s">
        <v>1076</v>
      </c>
      <c r="U151" s="347" t="s">
        <v>155</v>
      </c>
      <c r="V151" s="370">
        <v>1015.39</v>
      </c>
      <c r="W151" s="370">
        <v>244.61</v>
      </c>
      <c r="X151" s="370">
        <v>0</v>
      </c>
      <c r="Y151" s="68">
        <f t="shared" si="159"/>
        <v>1015.39</v>
      </c>
      <c r="Z151" s="345"/>
      <c r="AA151" s="347"/>
      <c r="AB151" s="345"/>
      <c r="AC151" s="345"/>
      <c r="AD151" s="345"/>
      <c r="AE151" s="68">
        <f t="shared" si="160"/>
        <v>0</v>
      </c>
      <c r="AF151" s="366">
        <v>2020</v>
      </c>
      <c r="AG151" s="358"/>
      <c r="AH151" s="359"/>
      <c r="AI151" s="360"/>
      <c r="AJ151" s="360"/>
      <c r="AK151" s="360" t="str">
        <f t="shared" si="161"/>
        <v>V</v>
      </c>
      <c r="AL151" s="18"/>
      <c r="AM151" s="360" t="str">
        <f t="shared" si="162"/>
        <v>2</v>
      </c>
      <c r="AN151" s="360" t="str">
        <f t="shared" si="163"/>
        <v>2</v>
      </c>
      <c r="AO151" s="360"/>
      <c r="AP151" s="346" t="str">
        <f t="shared" si="164"/>
        <v>1</v>
      </c>
      <c r="AQ151" s="360" t="str">
        <f t="shared" si="165"/>
        <v>2.2..1</v>
      </c>
      <c r="AR151" s="530"/>
      <c r="AS151" s="362" t="s">
        <v>155</v>
      </c>
      <c r="AT151" s="362">
        <v>988</v>
      </c>
      <c r="AU151" s="367">
        <v>1258</v>
      </c>
      <c r="AV151" s="368">
        <f t="shared" si="166"/>
        <v>1.2732793522267207</v>
      </c>
      <c r="AW151" s="362">
        <v>924</v>
      </c>
      <c r="AX151" s="368">
        <f t="shared" si="167"/>
        <v>0.93522267206477738</v>
      </c>
      <c r="AY151" s="362">
        <v>64</v>
      </c>
      <c r="AZ151" s="368">
        <f t="shared" si="168"/>
        <v>6.4777327935222673E-2</v>
      </c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</row>
    <row r="152" spans="1:68" ht="20.25" customHeight="1">
      <c r="A152" s="100">
        <v>19</v>
      </c>
      <c r="B152" s="100" t="s">
        <v>42</v>
      </c>
      <c r="C152" s="363">
        <v>45096</v>
      </c>
      <c r="D152" s="102" t="s">
        <v>352</v>
      </c>
      <c r="E152" s="100" t="str">
        <f t="shared" si="0"/>
        <v>Sama</v>
      </c>
      <c r="F152" s="63">
        <f t="shared" si="155"/>
        <v>138</v>
      </c>
      <c r="G152" s="63">
        <v>6</v>
      </c>
      <c r="H152" s="64" t="s">
        <v>42</v>
      </c>
      <c r="I152" s="62" t="s">
        <v>352</v>
      </c>
      <c r="J152" s="66">
        <v>2491.5246161459195</v>
      </c>
      <c r="K152" s="533" t="s">
        <v>104</v>
      </c>
      <c r="L152" s="68">
        <f t="shared" si="156"/>
        <v>3042</v>
      </c>
      <c r="M152" s="63"/>
      <c r="N152" s="392">
        <f t="shared" si="157"/>
        <v>2014</v>
      </c>
      <c r="O152" s="382" t="s">
        <v>353</v>
      </c>
      <c r="P152" s="68">
        <v>3042</v>
      </c>
      <c r="Q152" s="68">
        <v>0</v>
      </c>
      <c r="R152" s="68">
        <v>3042</v>
      </c>
      <c r="S152" s="68">
        <f t="shared" si="158"/>
        <v>3042</v>
      </c>
      <c r="T152" s="63"/>
      <c r="U152" s="347" t="s">
        <v>218</v>
      </c>
      <c r="V152" s="631" t="s">
        <v>1332</v>
      </c>
      <c r="W152" s="564"/>
      <c r="X152" s="559"/>
      <c r="Y152" s="68"/>
      <c r="Z152" s="345"/>
      <c r="AA152" s="347" t="s">
        <v>1333</v>
      </c>
      <c r="AB152" s="345">
        <v>3023.48</v>
      </c>
      <c r="AC152" s="345"/>
      <c r="AD152" s="345"/>
      <c r="AE152" s="68"/>
      <c r="AF152" s="366" t="s">
        <v>1097</v>
      </c>
      <c r="AG152" s="358"/>
      <c r="AH152" s="359"/>
      <c r="AI152" s="360"/>
      <c r="AJ152" s="360"/>
      <c r="AK152" s="360" t="str">
        <f t="shared" si="161"/>
        <v/>
      </c>
      <c r="AL152" s="18"/>
      <c r="AM152" s="360" t="str">
        <f t="shared" si="162"/>
        <v>2</v>
      </c>
      <c r="AN152" s="360" t="str">
        <f t="shared" si="163"/>
        <v>1</v>
      </c>
      <c r="AO152" s="360"/>
      <c r="AP152" s="346" t="str">
        <f t="shared" si="164"/>
        <v>2</v>
      </c>
      <c r="AQ152" s="360" t="str">
        <f t="shared" si="165"/>
        <v>2.1..2</v>
      </c>
      <c r="AR152" s="530"/>
      <c r="AS152" s="360"/>
      <c r="AT152" s="362"/>
      <c r="AU152" s="362"/>
      <c r="AV152" s="362"/>
      <c r="AW152" s="362"/>
      <c r="AX152" s="362"/>
      <c r="AY152" s="362"/>
      <c r="AZ152" s="362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</row>
    <row r="153" spans="1:68" ht="20.25" customHeight="1">
      <c r="A153" s="100">
        <v>19</v>
      </c>
      <c r="B153" s="100" t="s">
        <v>42</v>
      </c>
      <c r="C153" s="100" t="s">
        <v>1999</v>
      </c>
      <c r="D153" s="102" t="s">
        <v>2000</v>
      </c>
      <c r="E153" s="100" t="str">
        <f t="shared" si="0"/>
        <v>Beda</v>
      </c>
      <c r="F153" s="63">
        <f>SUBTOTAL(3,$G$7:G169)</f>
        <v>154</v>
      </c>
      <c r="G153" s="63">
        <v>7</v>
      </c>
      <c r="H153" s="64" t="s">
        <v>42</v>
      </c>
      <c r="I153" s="62" t="s">
        <v>354</v>
      </c>
      <c r="J153" s="66">
        <v>0</v>
      </c>
      <c r="K153" s="533" t="s">
        <v>123</v>
      </c>
      <c r="L153" s="68">
        <f t="shared" si="156"/>
        <v>0</v>
      </c>
      <c r="M153" s="63"/>
      <c r="N153" s="392">
        <f t="shared" si="157"/>
        <v>2012</v>
      </c>
      <c r="O153" s="382" t="s">
        <v>315</v>
      </c>
      <c r="P153" s="68"/>
      <c r="Q153" s="68"/>
      <c r="R153" s="68"/>
      <c r="S153" s="68">
        <f t="shared" si="158"/>
        <v>0</v>
      </c>
      <c r="T153" s="63"/>
      <c r="U153" s="347"/>
      <c r="V153" s="370"/>
      <c r="W153" s="370"/>
      <c r="X153" s="370"/>
      <c r="Y153" s="68">
        <f>IF(X153&gt;0,X153,IF(V153&gt;0,V153,0))</f>
        <v>0</v>
      </c>
      <c r="Z153" s="345"/>
      <c r="AA153" s="347"/>
      <c r="AB153" s="345"/>
      <c r="AC153" s="345"/>
      <c r="AD153" s="345"/>
      <c r="AE153" s="68">
        <f>IF(AD153&gt;0,AD153,IF(AB153&gt;0,AB153,0))</f>
        <v>0</v>
      </c>
      <c r="AF153" s="366" t="s">
        <v>1097</v>
      </c>
      <c r="AG153" s="358"/>
      <c r="AH153" s="359"/>
      <c r="AI153" s="360"/>
      <c r="AJ153" s="360"/>
      <c r="AK153" s="360" t="str">
        <f t="shared" si="161"/>
        <v/>
      </c>
      <c r="AL153" s="18"/>
      <c r="AM153" s="360" t="str">
        <f t="shared" si="162"/>
        <v>2</v>
      </c>
      <c r="AN153" s="360" t="str">
        <f t="shared" si="163"/>
        <v>2</v>
      </c>
      <c r="AO153" s="360"/>
      <c r="AP153" s="346" t="str">
        <f t="shared" si="164"/>
        <v>2</v>
      </c>
      <c r="AQ153" s="360" t="str">
        <f t="shared" si="165"/>
        <v>2.2..2</v>
      </c>
      <c r="AR153" s="530"/>
      <c r="AS153" s="360"/>
      <c r="AT153" s="362"/>
      <c r="AU153" s="362"/>
      <c r="AV153" s="362"/>
      <c r="AW153" s="362"/>
      <c r="AX153" s="362"/>
      <c r="AY153" s="362"/>
      <c r="AZ153" s="362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</row>
    <row r="154" spans="1:68" ht="20.25" customHeight="1">
      <c r="A154" s="100">
        <v>18</v>
      </c>
      <c r="B154" s="100" t="s">
        <v>41</v>
      </c>
      <c r="C154" s="100">
        <v>18</v>
      </c>
      <c r="D154" s="102" t="s">
        <v>2001</v>
      </c>
      <c r="E154" s="100" t="str">
        <f t="shared" si="0"/>
        <v>Sama</v>
      </c>
      <c r="F154" s="63"/>
      <c r="G154" s="342"/>
      <c r="H154" s="351"/>
      <c r="I154" s="379" t="s">
        <v>2001</v>
      </c>
      <c r="J154" s="337">
        <f>SUM(J155:J169)</f>
        <v>361698.92</v>
      </c>
      <c r="K154" s="353">
        <f>COUNTIF(K155:K169,"D") + COUNTIF(K155:K169,"DS")</f>
        <v>15</v>
      </c>
      <c r="L154" s="383">
        <f>SUBTOTAL(9,L155:L169)</f>
        <v>409595.74900000007</v>
      </c>
      <c r="M154" s="342"/>
      <c r="N154" s="355"/>
      <c r="O154" s="356"/>
      <c r="P154" s="383">
        <f t="shared" ref="P154:S154" si="169">SUBTOTAL(9,P155:P169)</f>
        <v>419525</v>
      </c>
      <c r="Q154" s="383">
        <f t="shared" si="169"/>
        <v>0</v>
      </c>
      <c r="R154" s="383">
        <f t="shared" si="169"/>
        <v>421279</v>
      </c>
      <c r="S154" s="383">
        <f t="shared" si="169"/>
        <v>421279</v>
      </c>
      <c r="T154" s="342"/>
      <c r="U154" s="351"/>
      <c r="V154" s="384">
        <v>233038.63500000001</v>
      </c>
      <c r="W154" s="384">
        <v>12509.29</v>
      </c>
      <c r="X154" s="384">
        <v>240566.03</v>
      </c>
      <c r="Y154" s="383">
        <f>SUBTOTAL(9,Y155:Y169)</f>
        <v>337776.99000000005</v>
      </c>
      <c r="Z154" s="337">
        <v>3</v>
      </c>
      <c r="AA154" s="351">
        <v>4</v>
      </c>
      <c r="AB154" s="337">
        <f t="shared" ref="AB154:AD154" si="170">SUM(AB155:AB169)</f>
        <v>170012.25899999999</v>
      </c>
      <c r="AC154" s="337">
        <f t="shared" si="170"/>
        <v>9325.985999999999</v>
      </c>
      <c r="AD154" s="337">
        <f t="shared" si="170"/>
        <v>409</v>
      </c>
      <c r="AE154" s="383">
        <f>SUBTOTAL(9,AE155:AE169)</f>
        <v>170012.25899999999</v>
      </c>
      <c r="AF154" s="357" t="s">
        <v>1138</v>
      </c>
      <c r="AG154" s="358"/>
      <c r="AH154" s="359"/>
      <c r="AI154" s="360"/>
      <c r="AJ154" s="360"/>
      <c r="AK154" s="361">
        <f>COUNTIF(AK155:AK169,"V") + COUNTIF(AK155:AK169,"VV") + COUNTIF(AK155:AK169,"VVV")</f>
        <v>12</v>
      </c>
      <c r="AL154" s="18"/>
      <c r="AM154" s="360"/>
      <c r="AN154" s="360"/>
      <c r="AO154" s="360"/>
      <c r="AP154" s="346"/>
      <c r="AQ154" s="360"/>
      <c r="AR154" s="530"/>
      <c r="AS154" s="360"/>
      <c r="AT154" s="362"/>
      <c r="AU154" s="362"/>
      <c r="AV154" s="362"/>
      <c r="AW154" s="362"/>
      <c r="AX154" s="362"/>
      <c r="AY154" s="362"/>
      <c r="AZ154" s="362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</row>
    <row r="155" spans="1:68" ht="20.25" customHeight="1">
      <c r="A155" s="100">
        <v>18</v>
      </c>
      <c r="B155" s="100" t="s">
        <v>41</v>
      </c>
      <c r="C155" s="100" t="s">
        <v>2002</v>
      </c>
      <c r="D155" s="102" t="s">
        <v>355</v>
      </c>
      <c r="E155" s="100" t="str">
        <f t="shared" si="0"/>
        <v>Sama</v>
      </c>
      <c r="F155" s="63">
        <f t="shared" ref="F155:F169" si="171">SUBTOTAL(3,$G$7:G155)</f>
        <v>140</v>
      </c>
      <c r="G155" s="63">
        <v>1</v>
      </c>
      <c r="H155" s="87" t="s">
        <v>41</v>
      </c>
      <c r="I155" s="87" t="s">
        <v>355</v>
      </c>
      <c r="J155" s="68">
        <v>619.32000000000005</v>
      </c>
      <c r="K155" s="533" t="s">
        <v>91</v>
      </c>
      <c r="L155" s="68">
        <f t="shared" ref="L155:L156" si="172">IF(S155&gt;0,S155,IF(Y155&gt;0,Y155,IF(AE155&gt;0,AE155,0)))</f>
        <v>186</v>
      </c>
      <c r="M155" s="364" t="s">
        <v>1076</v>
      </c>
      <c r="N155" s="392">
        <f t="shared" ref="N155:N169" si="173">VALUE(RIGHT(O155,4))</f>
        <v>2021</v>
      </c>
      <c r="O155" s="382" t="s">
        <v>218</v>
      </c>
      <c r="P155" s="68" t="s">
        <v>1032</v>
      </c>
      <c r="Q155" s="68" t="s">
        <v>1032</v>
      </c>
      <c r="R155" s="68">
        <v>186</v>
      </c>
      <c r="S155" s="68">
        <f t="shared" ref="S155:S169" si="174">IF(R155&gt;0,R155,IF(P155&gt;0,P155,0))</f>
        <v>186</v>
      </c>
      <c r="T155" s="364"/>
      <c r="U155" s="382" t="s">
        <v>1032</v>
      </c>
      <c r="V155" s="68" t="s">
        <v>1032</v>
      </c>
      <c r="W155" s="68" t="s">
        <v>1032</v>
      </c>
      <c r="X155" s="68" t="s">
        <v>1032</v>
      </c>
      <c r="Y155" s="68" t="str">
        <f t="shared" ref="Y155:Y169" si="175">IF(X155&gt;0,X155,IF(V155&gt;0,V155,0))</f>
        <v>-</v>
      </c>
      <c r="Z155" s="344"/>
      <c r="AA155" s="382" t="s">
        <v>1297</v>
      </c>
      <c r="AB155" s="399">
        <v>409</v>
      </c>
      <c r="AC155" s="399" t="s">
        <v>1032</v>
      </c>
      <c r="AD155" s="344">
        <v>409</v>
      </c>
      <c r="AE155" s="68">
        <f t="shared" ref="AE155:AE169" si="176">IF(AD155&gt;0,AD155,IF(AB155&gt;0,AB155,0))</f>
        <v>409</v>
      </c>
      <c r="AF155" s="366">
        <v>2020</v>
      </c>
      <c r="AG155" s="358"/>
      <c r="AH155" s="400"/>
      <c r="AI155" s="401"/>
      <c r="AJ155" s="401"/>
      <c r="AK155" s="360" t="str">
        <f t="shared" ref="AK155:AK169" si="177">CONCATENATE(M155,T155,Z155)</f>
        <v>V</v>
      </c>
      <c r="AL155" s="402"/>
      <c r="AM155" s="360" t="str">
        <f t="shared" ref="AM155:AM169" si="178">IF(N155=0,"3",IF(N155&lt;=2018,"2","1"))</f>
        <v>1</v>
      </c>
      <c r="AN155" s="360" t="str">
        <f t="shared" ref="AN155:AN169" si="179">IF(S155&gt;0,"1","2")</f>
        <v>1</v>
      </c>
      <c r="AO155" s="360"/>
      <c r="AP155" s="346" t="str">
        <f t="shared" ref="AP155:AP169" si="180">IF(Y155&gt;0,"1",IF(AE155&gt;0,"1","2"))</f>
        <v>1</v>
      </c>
      <c r="AQ155" s="360" t="str">
        <f t="shared" ref="AQ155:AQ169" si="181">CONCATENATE(AM155,".",AN155,".",AO155,".",AP155)</f>
        <v>1.1..1</v>
      </c>
      <c r="AR155" s="530"/>
      <c r="AS155" s="362" t="s">
        <v>218</v>
      </c>
      <c r="AT155" s="362">
        <v>619</v>
      </c>
      <c r="AU155" s="362">
        <v>186</v>
      </c>
      <c r="AV155" s="368">
        <f t="shared" ref="AV155:AV158" si="182">AU155/AT155</f>
        <v>0.30048465266558966</v>
      </c>
      <c r="AW155" s="362">
        <v>181</v>
      </c>
      <c r="AX155" s="368">
        <f t="shared" ref="AX155:AX158" si="183">AW155/AT155</f>
        <v>0.29240710823909533</v>
      </c>
      <c r="AY155" s="362">
        <v>439</v>
      </c>
      <c r="AZ155" s="368">
        <f t="shared" ref="AZ155:AZ158" si="184">AY155/AT155</f>
        <v>0.70920840064620361</v>
      </c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</row>
    <row r="156" spans="1:68" ht="20.25" customHeight="1">
      <c r="A156" s="100">
        <v>18</v>
      </c>
      <c r="B156" s="100" t="s">
        <v>41</v>
      </c>
      <c r="C156" s="100" t="s">
        <v>2003</v>
      </c>
      <c r="D156" s="102" t="s">
        <v>356</v>
      </c>
      <c r="E156" s="100" t="str">
        <f t="shared" si="0"/>
        <v>Sama</v>
      </c>
      <c r="F156" s="63">
        <f t="shared" si="171"/>
        <v>141</v>
      </c>
      <c r="G156" s="63">
        <v>2</v>
      </c>
      <c r="H156" s="87" t="s">
        <v>41</v>
      </c>
      <c r="I156" s="87" t="s">
        <v>356</v>
      </c>
      <c r="J156" s="68">
        <v>2947.9</v>
      </c>
      <c r="K156" s="533" t="s">
        <v>91</v>
      </c>
      <c r="L156" s="68">
        <f t="shared" si="172"/>
        <v>1568</v>
      </c>
      <c r="M156" s="364" t="s">
        <v>1076</v>
      </c>
      <c r="N156" s="392">
        <f t="shared" si="173"/>
        <v>2022</v>
      </c>
      <c r="O156" s="382" t="s">
        <v>220</v>
      </c>
      <c r="P156" s="68" t="s">
        <v>1032</v>
      </c>
      <c r="Q156" s="68" t="s">
        <v>1032</v>
      </c>
      <c r="R156" s="68">
        <v>1568</v>
      </c>
      <c r="S156" s="68">
        <f t="shared" si="174"/>
        <v>1568</v>
      </c>
      <c r="T156" s="364" t="s">
        <v>1076</v>
      </c>
      <c r="U156" s="382" t="s">
        <v>1299</v>
      </c>
      <c r="V156" s="68">
        <v>1567.5</v>
      </c>
      <c r="W156" s="68" t="s">
        <v>1032</v>
      </c>
      <c r="X156" s="68">
        <v>1567.5</v>
      </c>
      <c r="Y156" s="68">
        <f t="shared" si="175"/>
        <v>1567.5</v>
      </c>
      <c r="Z156" s="344"/>
      <c r="AA156" s="382"/>
      <c r="AB156" s="399"/>
      <c r="AC156" s="399"/>
      <c r="AD156" s="344"/>
      <c r="AE156" s="68">
        <f t="shared" si="176"/>
        <v>0</v>
      </c>
      <c r="AF156" s="364" t="s">
        <v>1097</v>
      </c>
      <c r="AG156" s="344"/>
      <c r="AH156" s="93"/>
      <c r="AI156" s="87"/>
      <c r="AJ156" s="87"/>
      <c r="AK156" s="63" t="str">
        <f t="shared" si="177"/>
        <v>VV</v>
      </c>
      <c r="AL156" s="539"/>
      <c r="AM156" s="63" t="str">
        <f t="shared" si="178"/>
        <v>1</v>
      </c>
      <c r="AN156" s="63" t="str">
        <f t="shared" si="179"/>
        <v>1</v>
      </c>
      <c r="AO156" s="63"/>
      <c r="AP156" s="346" t="str">
        <f t="shared" si="180"/>
        <v>1</v>
      </c>
      <c r="AQ156" s="63" t="str">
        <f t="shared" si="181"/>
        <v>1.1..1</v>
      </c>
      <c r="AR156" s="534"/>
      <c r="AS156" s="347"/>
      <c r="AT156" s="95"/>
      <c r="AU156" s="95"/>
      <c r="AV156" s="371" t="e">
        <f t="shared" si="182"/>
        <v>#DIV/0!</v>
      </c>
      <c r="AW156" s="95"/>
      <c r="AX156" s="371" t="e">
        <f t="shared" si="183"/>
        <v>#DIV/0!</v>
      </c>
      <c r="AY156" s="95"/>
      <c r="AZ156" s="371" t="e">
        <f t="shared" si="184"/>
        <v>#DIV/0!</v>
      </c>
      <c r="BA156" s="47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</row>
    <row r="157" spans="1:68" ht="20.25" customHeight="1">
      <c r="A157" s="100">
        <v>18</v>
      </c>
      <c r="B157" s="100" t="s">
        <v>41</v>
      </c>
      <c r="C157" s="363">
        <v>45034</v>
      </c>
      <c r="D157" s="102" t="s">
        <v>357</v>
      </c>
      <c r="E157" s="100" t="str">
        <f t="shared" si="0"/>
        <v>Sama</v>
      </c>
      <c r="F157" s="63">
        <f t="shared" si="171"/>
        <v>142</v>
      </c>
      <c r="G157" s="63">
        <v>3</v>
      </c>
      <c r="H157" s="87" t="s">
        <v>41</v>
      </c>
      <c r="I157" s="87" t="s">
        <v>357</v>
      </c>
      <c r="J157" s="68">
        <v>10464.65</v>
      </c>
      <c r="K157" s="533" t="s">
        <v>91</v>
      </c>
      <c r="L157" s="68">
        <f t="shared" ref="L157:L158" si="185">Y157</f>
        <v>10181.530000000001</v>
      </c>
      <c r="M157" s="364"/>
      <c r="N157" s="392">
        <f t="shared" si="173"/>
        <v>2012</v>
      </c>
      <c r="O157" s="382" t="s">
        <v>315</v>
      </c>
      <c r="P157" s="68" t="s">
        <v>1032</v>
      </c>
      <c r="Q157" s="68" t="s">
        <v>1032</v>
      </c>
      <c r="R157" s="68" t="s">
        <v>1032</v>
      </c>
      <c r="S157" s="68" t="str">
        <f t="shared" si="174"/>
        <v>-</v>
      </c>
      <c r="T157" s="364" t="s">
        <v>1076</v>
      </c>
      <c r="U157" s="382" t="s">
        <v>265</v>
      </c>
      <c r="V157" s="68">
        <v>8167.2</v>
      </c>
      <c r="W157" s="68">
        <v>2014.33</v>
      </c>
      <c r="X157" s="68">
        <v>10181.530000000001</v>
      </c>
      <c r="Y157" s="68">
        <f t="shared" si="175"/>
        <v>10181.530000000001</v>
      </c>
      <c r="Z157" s="344"/>
      <c r="AA157" s="382"/>
      <c r="AB157" s="399"/>
      <c r="AC157" s="399"/>
      <c r="AD157" s="344"/>
      <c r="AE157" s="68">
        <f t="shared" si="176"/>
        <v>0</v>
      </c>
      <c r="AF157" s="366">
        <v>2020</v>
      </c>
      <c r="AG157" s="358"/>
      <c r="AH157" s="400"/>
      <c r="AI157" s="401"/>
      <c r="AJ157" s="401"/>
      <c r="AK157" s="360" t="str">
        <f t="shared" si="177"/>
        <v>V</v>
      </c>
      <c r="AL157" s="540"/>
      <c r="AM157" s="360" t="str">
        <f t="shared" si="178"/>
        <v>2</v>
      </c>
      <c r="AN157" s="360" t="str">
        <f t="shared" si="179"/>
        <v>1</v>
      </c>
      <c r="AO157" s="360"/>
      <c r="AP157" s="346" t="str">
        <f t="shared" si="180"/>
        <v>1</v>
      </c>
      <c r="AQ157" s="360" t="str">
        <f t="shared" si="181"/>
        <v>2.1..1</v>
      </c>
      <c r="AR157" s="530"/>
      <c r="AS157" s="362" t="s">
        <v>265</v>
      </c>
      <c r="AT157" s="367">
        <v>10465</v>
      </c>
      <c r="AU157" s="367">
        <v>10182</v>
      </c>
      <c r="AV157" s="368">
        <f t="shared" si="182"/>
        <v>0.97295747730530335</v>
      </c>
      <c r="AW157" s="367">
        <v>8966</v>
      </c>
      <c r="AX157" s="368">
        <f t="shared" si="183"/>
        <v>0.85676063067367414</v>
      </c>
      <c r="AY157" s="367">
        <v>1499</v>
      </c>
      <c r="AZ157" s="368">
        <f t="shared" si="184"/>
        <v>0.14323936932632586</v>
      </c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</row>
    <row r="158" spans="1:68" ht="20.25" customHeight="1">
      <c r="A158" s="100">
        <v>18</v>
      </c>
      <c r="B158" s="100" t="s">
        <v>41</v>
      </c>
      <c r="C158" s="363">
        <v>44944</v>
      </c>
      <c r="D158" s="102" t="s">
        <v>358</v>
      </c>
      <c r="E158" s="100" t="str">
        <f t="shared" si="0"/>
        <v>Sama</v>
      </c>
      <c r="F158" s="63">
        <f t="shared" si="171"/>
        <v>143</v>
      </c>
      <c r="G158" s="63">
        <v>4</v>
      </c>
      <c r="H158" s="87" t="s">
        <v>41</v>
      </c>
      <c r="I158" s="87" t="s">
        <v>358</v>
      </c>
      <c r="J158" s="68">
        <v>38687.99</v>
      </c>
      <c r="K158" s="533" t="s">
        <v>91</v>
      </c>
      <c r="L158" s="68">
        <f t="shared" si="185"/>
        <v>41575</v>
      </c>
      <c r="M158" s="364"/>
      <c r="N158" s="392">
        <f t="shared" si="173"/>
        <v>2012</v>
      </c>
      <c r="O158" s="382" t="s">
        <v>1256</v>
      </c>
      <c r="P158" s="68">
        <v>121825</v>
      </c>
      <c r="Q158" s="68" t="s">
        <v>1032</v>
      </c>
      <c r="R158" s="68">
        <v>121825</v>
      </c>
      <c r="S158" s="68">
        <f t="shared" si="174"/>
        <v>121825</v>
      </c>
      <c r="T158" s="364" t="s">
        <v>1076</v>
      </c>
      <c r="U158" s="382" t="s">
        <v>359</v>
      </c>
      <c r="V158" s="68">
        <v>36052</v>
      </c>
      <c r="W158" s="68">
        <v>5523</v>
      </c>
      <c r="X158" s="68">
        <v>41575</v>
      </c>
      <c r="Y158" s="68">
        <f t="shared" si="175"/>
        <v>41575</v>
      </c>
      <c r="Z158" s="344"/>
      <c r="AA158" s="382"/>
      <c r="AB158" s="399"/>
      <c r="AC158" s="399"/>
      <c r="AD158" s="344"/>
      <c r="AE158" s="68">
        <f t="shared" si="176"/>
        <v>0</v>
      </c>
      <c r="AF158" s="366">
        <v>2020</v>
      </c>
      <c r="AG158" s="358"/>
      <c r="AH158" s="400"/>
      <c r="AI158" s="401"/>
      <c r="AJ158" s="401"/>
      <c r="AK158" s="360" t="str">
        <f t="shared" si="177"/>
        <v>V</v>
      </c>
      <c r="AL158" s="540"/>
      <c r="AM158" s="360" t="str">
        <f t="shared" si="178"/>
        <v>2</v>
      </c>
      <c r="AN158" s="360" t="str">
        <f t="shared" si="179"/>
        <v>1</v>
      </c>
      <c r="AO158" s="360"/>
      <c r="AP158" s="346" t="str">
        <f t="shared" si="180"/>
        <v>1</v>
      </c>
      <c r="AQ158" s="360" t="str">
        <f t="shared" si="181"/>
        <v>2.1..1</v>
      </c>
      <c r="AR158" s="530"/>
      <c r="AS158" s="362" t="s">
        <v>359</v>
      </c>
      <c r="AT158" s="367">
        <v>38688</v>
      </c>
      <c r="AU158" s="367">
        <v>36478</v>
      </c>
      <c r="AV158" s="368">
        <f t="shared" si="182"/>
        <v>0.9428763440860215</v>
      </c>
      <c r="AW158" s="367">
        <v>36478</v>
      </c>
      <c r="AX158" s="368">
        <f t="shared" si="183"/>
        <v>0.9428763440860215</v>
      </c>
      <c r="AY158" s="367">
        <v>2210</v>
      </c>
      <c r="AZ158" s="368">
        <f t="shared" si="184"/>
        <v>5.7123655913978492E-2</v>
      </c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</row>
    <row r="159" spans="1:68" ht="20.25" customHeight="1">
      <c r="A159" s="100">
        <v>18</v>
      </c>
      <c r="B159" s="100" t="s">
        <v>41</v>
      </c>
      <c r="C159" s="363">
        <v>44975</v>
      </c>
      <c r="D159" s="102" t="s">
        <v>360</v>
      </c>
      <c r="E159" s="100" t="str">
        <f t="shared" si="0"/>
        <v>Sama</v>
      </c>
      <c r="F159" s="63">
        <f t="shared" si="171"/>
        <v>144</v>
      </c>
      <c r="G159" s="63">
        <v>5</v>
      </c>
      <c r="H159" s="87" t="s">
        <v>41</v>
      </c>
      <c r="I159" s="87" t="s">
        <v>360</v>
      </c>
      <c r="J159" s="68">
        <v>79664.17</v>
      </c>
      <c r="K159" s="533" t="s">
        <v>104</v>
      </c>
      <c r="L159" s="68">
        <f>IF(S159&gt;0,S159,IF(Y159&gt;0,Y159,IF(AE159&gt;0,AE159,0)))</f>
        <v>142755</v>
      </c>
      <c r="M159" s="364"/>
      <c r="N159" s="392">
        <f t="shared" si="173"/>
        <v>2012</v>
      </c>
      <c r="O159" s="382" t="s">
        <v>315</v>
      </c>
      <c r="P159" s="68">
        <v>142755</v>
      </c>
      <c r="Q159" s="68" t="s">
        <v>1032</v>
      </c>
      <c r="R159" s="68">
        <v>142755</v>
      </c>
      <c r="S159" s="68">
        <f t="shared" si="174"/>
        <v>142755</v>
      </c>
      <c r="T159" s="364"/>
      <c r="U159" s="382" t="s">
        <v>729</v>
      </c>
      <c r="V159" s="68">
        <v>53206</v>
      </c>
      <c r="W159" s="68">
        <v>18585</v>
      </c>
      <c r="X159" s="68">
        <v>71791</v>
      </c>
      <c r="Y159" s="68">
        <f t="shared" si="175"/>
        <v>71791</v>
      </c>
      <c r="Z159" s="344"/>
      <c r="AA159" s="382"/>
      <c r="AB159" s="399"/>
      <c r="AC159" s="399"/>
      <c r="AD159" s="344"/>
      <c r="AE159" s="68">
        <f t="shared" si="176"/>
        <v>0</v>
      </c>
      <c r="AF159" s="366" t="s">
        <v>1097</v>
      </c>
      <c r="AG159" s="358"/>
      <c r="AH159" s="400"/>
      <c r="AI159" s="401"/>
      <c r="AJ159" s="401"/>
      <c r="AK159" s="360" t="str">
        <f t="shared" si="177"/>
        <v/>
      </c>
      <c r="AL159" s="540"/>
      <c r="AM159" s="360" t="str">
        <f t="shared" si="178"/>
        <v>2</v>
      </c>
      <c r="AN159" s="360" t="str">
        <f t="shared" si="179"/>
        <v>1</v>
      </c>
      <c r="AO159" s="360"/>
      <c r="AP159" s="346" t="str">
        <f t="shared" si="180"/>
        <v>1</v>
      </c>
      <c r="AQ159" s="360" t="str">
        <f t="shared" si="181"/>
        <v>2.1..1</v>
      </c>
      <c r="AR159" s="530"/>
      <c r="AS159" s="360"/>
      <c r="AT159" s="362"/>
      <c r="AU159" s="362"/>
      <c r="AV159" s="362"/>
      <c r="AW159" s="362"/>
      <c r="AX159" s="362"/>
      <c r="AY159" s="362"/>
      <c r="AZ159" s="362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</row>
    <row r="160" spans="1:68" ht="20.25" customHeight="1">
      <c r="A160" s="100">
        <v>18</v>
      </c>
      <c r="B160" s="100" t="s">
        <v>41</v>
      </c>
      <c r="C160" s="363">
        <v>45125</v>
      </c>
      <c r="D160" s="102" t="s">
        <v>362</v>
      </c>
      <c r="E160" s="100" t="str">
        <f t="shared" si="0"/>
        <v>Sama</v>
      </c>
      <c r="F160" s="63">
        <f t="shared" si="171"/>
        <v>145</v>
      </c>
      <c r="G160" s="63">
        <v>6</v>
      </c>
      <c r="H160" s="87" t="s">
        <v>41</v>
      </c>
      <c r="I160" s="87" t="s">
        <v>362</v>
      </c>
      <c r="J160" s="68">
        <v>58592.13</v>
      </c>
      <c r="K160" s="533" t="s">
        <v>91</v>
      </c>
      <c r="L160" s="68">
        <f t="shared" ref="L160:L162" si="186">AE160</f>
        <v>59173.24</v>
      </c>
      <c r="M160" s="364"/>
      <c r="N160" s="392">
        <f t="shared" si="173"/>
        <v>2012</v>
      </c>
      <c r="O160" s="382" t="s">
        <v>432</v>
      </c>
      <c r="P160" s="68">
        <v>50553</v>
      </c>
      <c r="Q160" s="68" t="s">
        <v>1032</v>
      </c>
      <c r="R160" s="68">
        <v>50553</v>
      </c>
      <c r="S160" s="68">
        <f t="shared" si="174"/>
        <v>50553</v>
      </c>
      <c r="T160" s="364"/>
      <c r="U160" s="382" t="s">
        <v>175</v>
      </c>
      <c r="V160" s="68">
        <v>50553</v>
      </c>
      <c r="W160" s="68" t="s">
        <v>1032</v>
      </c>
      <c r="X160" s="68">
        <v>50553</v>
      </c>
      <c r="Y160" s="68">
        <f t="shared" si="175"/>
        <v>50553</v>
      </c>
      <c r="Z160" s="344" t="s">
        <v>1076</v>
      </c>
      <c r="AA160" s="537" t="s">
        <v>363</v>
      </c>
      <c r="AB160" s="399">
        <v>59173.24</v>
      </c>
      <c r="AC160" s="399"/>
      <c r="AD160" s="344"/>
      <c r="AE160" s="68">
        <f t="shared" si="176"/>
        <v>59173.24</v>
      </c>
      <c r="AF160" s="364">
        <v>2022</v>
      </c>
      <c r="AG160" s="344"/>
      <c r="AH160" s="93"/>
      <c r="AI160" s="87"/>
      <c r="AJ160" s="87"/>
      <c r="AK160" s="63" t="str">
        <f t="shared" si="177"/>
        <v>V</v>
      </c>
      <c r="AL160" s="539"/>
      <c r="AM160" s="63" t="str">
        <f t="shared" si="178"/>
        <v>2</v>
      </c>
      <c r="AN160" s="63" t="str">
        <f t="shared" si="179"/>
        <v>1</v>
      </c>
      <c r="AO160" s="63"/>
      <c r="AP160" s="346" t="str">
        <f t="shared" si="180"/>
        <v>1</v>
      </c>
      <c r="AQ160" s="63" t="str">
        <f t="shared" si="181"/>
        <v>2.1..1</v>
      </c>
      <c r="AR160" s="534"/>
      <c r="AS160" s="64" t="s">
        <v>2004</v>
      </c>
      <c r="AT160" s="95">
        <v>58592.13</v>
      </c>
      <c r="AU160" s="95">
        <v>59173.24</v>
      </c>
      <c r="AV160" s="371">
        <f t="shared" ref="AV160:AV164" si="187">AU160/AT160</f>
        <v>1.0099178848763477</v>
      </c>
      <c r="AW160" s="95">
        <v>56602.29</v>
      </c>
      <c r="AX160" s="371">
        <f t="shared" ref="AX160:AX164" si="188">AW160/AT160</f>
        <v>0.96603912504972944</v>
      </c>
      <c r="AY160" s="95">
        <v>1989.84</v>
      </c>
      <c r="AZ160" s="371">
        <f t="shared" ref="AZ160:AZ164" si="189">AY160/AT160</f>
        <v>3.3960874950270628E-2</v>
      </c>
      <c r="BA160" s="47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</row>
    <row r="161" spans="1:68" ht="20.25" customHeight="1">
      <c r="A161" s="100">
        <v>18</v>
      </c>
      <c r="B161" s="100" t="s">
        <v>41</v>
      </c>
      <c r="C161" s="363">
        <v>45003</v>
      </c>
      <c r="D161" s="102" t="s">
        <v>364</v>
      </c>
      <c r="E161" s="100" t="str">
        <f t="shared" si="0"/>
        <v>Sama</v>
      </c>
      <c r="F161" s="63">
        <f t="shared" si="171"/>
        <v>146</v>
      </c>
      <c r="G161" s="63">
        <v>7</v>
      </c>
      <c r="H161" s="87" t="s">
        <v>41</v>
      </c>
      <c r="I161" s="87" t="s">
        <v>364</v>
      </c>
      <c r="J161" s="68">
        <v>14972.92</v>
      </c>
      <c r="K161" s="533" t="s">
        <v>91</v>
      </c>
      <c r="L161" s="68">
        <f t="shared" si="186"/>
        <v>14282.55</v>
      </c>
      <c r="M161" s="364"/>
      <c r="N161" s="392">
        <f t="shared" si="173"/>
        <v>2014</v>
      </c>
      <c r="O161" s="382" t="s">
        <v>285</v>
      </c>
      <c r="P161" s="68" t="s">
        <v>1032</v>
      </c>
      <c r="Q161" s="68" t="s">
        <v>1032</v>
      </c>
      <c r="R161" s="68" t="s">
        <v>1032</v>
      </c>
      <c r="S161" s="68" t="str">
        <f t="shared" si="174"/>
        <v>-</v>
      </c>
      <c r="T161" s="364"/>
      <c r="U161" s="382" t="s">
        <v>175</v>
      </c>
      <c r="V161" s="68">
        <v>18870</v>
      </c>
      <c r="W161" s="68" t="s">
        <v>1032</v>
      </c>
      <c r="X161" s="68">
        <v>18870</v>
      </c>
      <c r="Y161" s="68">
        <f t="shared" si="175"/>
        <v>18870</v>
      </c>
      <c r="Z161" s="344" t="s">
        <v>1076</v>
      </c>
      <c r="AA161" s="536" t="s">
        <v>365</v>
      </c>
      <c r="AB161" s="403">
        <v>14282.55</v>
      </c>
      <c r="AC161" s="399"/>
      <c r="AD161" s="344"/>
      <c r="AE161" s="68">
        <f t="shared" si="176"/>
        <v>14282.55</v>
      </c>
      <c r="AF161" s="364">
        <v>2022</v>
      </c>
      <c r="AG161" s="344"/>
      <c r="AH161" s="93"/>
      <c r="AI161" s="87"/>
      <c r="AJ161" s="87"/>
      <c r="AK161" s="63" t="str">
        <f t="shared" si="177"/>
        <v>V</v>
      </c>
      <c r="AL161" s="539"/>
      <c r="AM161" s="63" t="str">
        <f t="shared" si="178"/>
        <v>2</v>
      </c>
      <c r="AN161" s="63" t="str">
        <f t="shared" si="179"/>
        <v>1</v>
      </c>
      <c r="AO161" s="63"/>
      <c r="AP161" s="346" t="str">
        <f t="shared" si="180"/>
        <v>1</v>
      </c>
      <c r="AQ161" s="63" t="str">
        <f t="shared" si="181"/>
        <v>2.1..1</v>
      </c>
      <c r="AR161" s="534"/>
      <c r="AS161" s="64" t="s">
        <v>2005</v>
      </c>
      <c r="AT161" s="95">
        <v>14972.92</v>
      </c>
      <c r="AU161" s="95">
        <v>14282.55</v>
      </c>
      <c r="AV161" s="371">
        <f t="shared" si="187"/>
        <v>0.953892093192243</v>
      </c>
      <c r="AW161" s="95">
        <v>13483.75</v>
      </c>
      <c r="AX161" s="371">
        <f t="shared" si="188"/>
        <v>0.90054244596244415</v>
      </c>
      <c r="AY161" s="95">
        <v>1489.17</v>
      </c>
      <c r="AZ161" s="371">
        <f t="shared" si="189"/>
        <v>9.9457554037555809E-2</v>
      </c>
      <c r="BA161" s="47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</row>
    <row r="162" spans="1:68" ht="20.25" customHeight="1">
      <c r="A162" s="100">
        <v>18</v>
      </c>
      <c r="B162" s="100" t="s">
        <v>41</v>
      </c>
      <c r="C162" s="369">
        <v>45248</v>
      </c>
      <c r="D162" s="102" t="s">
        <v>366</v>
      </c>
      <c r="E162" s="100" t="str">
        <f t="shared" si="0"/>
        <v>Sama</v>
      </c>
      <c r="F162" s="63">
        <f t="shared" si="171"/>
        <v>147</v>
      </c>
      <c r="G162" s="63">
        <v>8</v>
      </c>
      <c r="H162" s="87" t="s">
        <v>41</v>
      </c>
      <c r="I162" s="87" t="s">
        <v>366</v>
      </c>
      <c r="J162" s="68">
        <v>30611.07</v>
      </c>
      <c r="K162" s="533" t="s">
        <v>91</v>
      </c>
      <c r="L162" s="68">
        <f t="shared" si="186"/>
        <v>25056.720000000001</v>
      </c>
      <c r="M162" s="364"/>
      <c r="N162" s="392">
        <f t="shared" si="173"/>
        <v>2012</v>
      </c>
      <c r="O162" s="382" t="s">
        <v>1306</v>
      </c>
      <c r="P162" s="68">
        <v>13169</v>
      </c>
      <c r="Q162" s="68" t="s">
        <v>1032</v>
      </c>
      <c r="R162" s="68">
        <v>13169</v>
      </c>
      <c r="S162" s="68">
        <f t="shared" si="174"/>
        <v>13169</v>
      </c>
      <c r="T162" s="364"/>
      <c r="U162" s="382" t="s">
        <v>1307</v>
      </c>
      <c r="V162" s="68">
        <v>25153</v>
      </c>
      <c r="W162" s="68">
        <v>5418</v>
      </c>
      <c r="X162" s="68">
        <v>30571</v>
      </c>
      <c r="Y162" s="68">
        <f t="shared" si="175"/>
        <v>30571</v>
      </c>
      <c r="Z162" s="344" t="s">
        <v>1076</v>
      </c>
      <c r="AA162" s="531" t="s">
        <v>367</v>
      </c>
      <c r="AB162" s="399">
        <v>25056.720000000001</v>
      </c>
      <c r="AC162" s="399">
        <v>4110.3599999999997</v>
      </c>
      <c r="AD162" s="344"/>
      <c r="AE162" s="68">
        <f t="shared" si="176"/>
        <v>25056.720000000001</v>
      </c>
      <c r="AF162" s="364">
        <v>2022</v>
      </c>
      <c r="AG162" s="344"/>
      <c r="AH162" s="93"/>
      <c r="AI162" s="87"/>
      <c r="AJ162" s="87"/>
      <c r="AK162" s="63" t="str">
        <f t="shared" si="177"/>
        <v>V</v>
      </c>
      <c r="AL162" s="539"/>
      <c r="AM162" s="63" t="str">
        <f t="shared" si="178"/>
        <v>2</v>
      </c>
      <c r="AN162" s="63" t="str">
        <f t="shared" si="179"/>
        <v>1</v>
      </c>
      <c r="AO162" s="63"/>
      <c r="AP162" s="346" t="str">
        <f t="shared" si="180"/>
        <v>1</v>
      </c>
      <c r="AQ162" s="63" t="str">
        <f t="shared" si="181"/>
        <v>2.1..1</v>
      </c>
      <c r="AR162" s="534"/>
      <c r="AS162" s="64" t="s">
        <v>2006</v>
      </c>
      <c r="AT162" s="95">
        <v>30611.07</v>
      </c>
      <c r="AU162" s="95">
        <v>29167.08</v>
      </c>
      <c r="AV162" s="371">
        <f t="shared" si="187"/>
        <v>0.95282784953286515</v>
      </c>
      <c r="AW162" s="95">
        <v>24535.360000000001</v>
      </c>
      <c r="AX162" s="371">
        <f t="shared" si="188"/>
        <v>0.80151918897313945</v>
      </c>
      <c r="AY162" s="95">
        <v>6075.7</v>
      </c>
      <c r="AZ162" s="371">
        <f t="shared" si="189"/>
        <v>0.19848048434765592</v>
      </c>
      <c r="BA162" s="47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</row>
    <row r="163" spans="1:68" ht="20.25" customHeight="1">
      <c r="A163" s="100">
        <v>18</v>
      </c>
      <c r="B163" s="100" t="s">
        <v>41</v>
      </c>
      <c r="C163" s="363">
        <v>45187</v>
      </c>
      <c r="D163" s="102" t="s">
        <v>368</v>
      </c>
      <c r="E163" s="100" t="str">
        <f t="shared" si="0"/>
        <v>Sama</v>
      </c>
      <c r="F163" s="63">
        <f t="shared" si="171"/>
        <v>148</v>
      </c>
      <c r="G163" s="63">
        <v>9</v>
      </c>
      <c r="H163" s="87" t="s">
        <v>41</v>
      </c>
      <c r="I163" s="87" t="s">
        <v>368</v>
      </c>
      <c r="J163" s="68">
        <v>13304.54</v>
      </c>
      <c r="K163" s="533" t="s">
        <v>91</v>
      </c>
      <c r="L163" s="68">
        <f>IF(S163&gt;0,S163,IF(Y163&gt;0,Y163,IF(AE163&gt;0,AE163,0)))</f>
        <v>13847</v>
      </c>
      <c r="M163" s="364" t="s">
        <v>1076</v>
      </c>
      <c r="N163" s="392">
        <f t="shared" si="173"/>
        <v>2019</v>
      </c>
      <c r="O163" s="382" t="s">
        <v>311</v>
      </c>
      <c r="P163" s="68">
        <v>13847</v>
      </c>
      <c r="Q163" s="68" t="s">
        <v>1032</v>
      </c>
      <c r="R163" s="68">
        <v>13847</v>
      </c>
      <c r="S163" s="68">
        <f t="shared" si="174"/>
        <v>13847</v>
      </c>
      <c r="T163" s="364" t="s">
        <v>1076</v>
      </c>
      <c r="U163" s="382" t="s">
        <v>470</v>
      </c>
      <c r="V163" s="68">
        <v>8452</v>
      </c>
      <c r="W163" s="68" t="s">
        <v>1032</v>
      </c>
      <c r="X163" s="68">
        <v>8452</v>
      </c>
      <c r="Y163" s="68">
        <f t="shared" si="175"/>
        <v>8452</v>
      </c>
      <c r="Z163" s="344"/>
      <c r="AA163" s="382"/>
      <c r="AB163" s="399"/>
      <c r="AC163" s="399"/>
      <c r="AD163" s="344"/>
      <c r="AE163" s="68">
        <f t="shared" si="176"/>
        <v>0</v>
      </c>
      <c r="AF163" s="366">
        <v>2020</v>
      </c>
      <c r="AG163" s="358"/>
      <c r="AH163" s="400"/>
      <c r="AI163" s="401"/>
      <c r="AJ163" s="401"/>
      <c r="AK163" s="360" t="str">
        <f t="shared" si="177"/>
        <v>VV</v>
      </c>
      <c r="AL163" s="540"/>
      <c r="AM163" s="360" t="str">
        <f t="shared" si="178"/>
        <v>1</v>
      </c>
      <c r="AN163" s="360" t="str">
        <f t="shared" si="179"/>
        <v>1</v>
      </c>
      <c r="AO163" s="360"/>
      <c r="AP163" s="346" t="str">
        <f t="shared" si="180"/>
        <v>1</v>
      </c>
      <c r="AQ163" s="360" t="str">
        <f t="shared" si="181"/>
        <v>1.1..1</v>
      </c>
      <c r="AR163" s="530"/>
      <c r="AS163" s="362" t="s">
        <v>311</v>
      </c>
      <c r="AT163" s="367">
        <v>13305</v>
      </c>
      <c r="AU163" s="367">
        <v>13846</v>
      </c>
      <c r="AV163" s="368">
        <f t="shared" si="187"/>
        <v>1.0406614054866592</v>
      </c>
      <c r="AW163" s="367">
        <v>8430</v>
      </c>
      <c r="AX163" s="368">
        <f t="shared" si="188"/>
        <v>0.63359639233370912</v>
      </c>
      <c r="AY163" s="367">
        <v>4874</v>
      </c>
      <c r="AZ163" s="368">
        <f t="shared" si="189"/>
        <v>0.36632844795189778</v>
      </c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</row>
    <row r="164" spans="1:68" ht="20.25" customHeight="1">
      <c r="A164" s="100">
        <v>18</v>
      </c>
      <c r="B164" s="100" t="s">
        <v>41</v>
      </c>
      <c r="C164" s="100" t="s">
        <v>2007</v>
      </c>
      <c r="D164" s="102" t="s">
        <v>369</v>
      </c>
      <c r="E164" s="100" t="str">
        <f t="shared" si="0"/>
        <v>Sama</v>
      </c>
      <c r="F164" s="63">
        <f t="shared" si="171"/>
        <v>149</v>
      </c>
      <c r="G164" s="63">
        <v>10</v>
      </c>
      <c r="H164" s="87" t="s">
        <v>41</v>
      </c>
      <c r="I164" s="87" t="s">
        <v>369</v>
      </c>
      <c r="J164" s="68">
        <v>8587.7000000000007</v>
      </c>
      <c r="K164" s="533" t="s">
        <v>91</v>
      </c>
      <c r="L164" s="68">
        <f>AE164</f>
        <v>8341.2690000000002</v>
      </c>
      <c r="M164" s="364"/>
      <c r="N164" s="392">
        <f t="shared" si="173"/>
        <v>2017</v>
      </c>
      <c r="O164" s="382" t="s">
        <v>1310</v>
      </c>
      <c r="P164" s="68" t="s">
        <v>1032</v>
      </c>
      <c r="Q164" s="68" t="s">
        <v>1032</v>
      </c>
      <c r="R164" s="68" t="s">
        <v>1032</v>
      </c>
      <c r="S164" s="68" t="str">
        <f t="shared" si="174"/>
        <v>-</v>
      </c>
      <c r="T164" s="364"/>
      <c r="U164" s="382" t="s">
        <v>311</v>
      </c>
      <c r="V164" s="68" t="s">
        <v>1032</v>
      </c>
      <c r="W164" s="68" t="s">
        <v>1032</v>
      </c>
      <c r="X164" s="68" t="s">
        <v>1032</v>
      </c>
      <c r="Y164" s="68" t="str">
        <f t="shared" si="175"/>
        <v>-</v>
      </c>
      <c r="Z164" s="344" t="s">
        <v>1076</v>
      </c>
      <c r="AA164" s="536" t="s">
        <v>1311</v>
      </c>
      <c r="AB164" s="403">
        <v>8341.2690000000002</v>
      </c>
      <c r="AC164" s="404">
        <v>1161.9359999999999</v>
      </c>
      <c r="AD164" s="344"/>
      <c r="AE164" s="68">
        <f t="shared" si="176"/>
        <v>8341.2690000000002</v>
      </c>
      <c r="AF164" s="364">
        <v>2022</v>
      </c>
      <c r="AG164" s="344"/>
      <c r="AH164" s="93"/>
      <c r="AI164" s="87"/>
      <c r="AJ164" s="87"/>
      <c r="AK164" s="63" t="str">
        <f t="shared" si="177"/>
        <v>V</v>
      </c>
      <c r="AL164" s="539"/>
      <c r="AM164" s="63" t="str">
        <f t="shared" si="178"/>
        <v>2</v>
      </c>
      <c r="AN164" s="63" t="str">
        <f t="shared" si="179"/>
        <v>1</v>
      </c>
      <c r="AO164" s="63"/>
      <c r="AP164" s="346" t="str">
        <f t="shared" si="180"/>
        <v>1</v>
      </c>
      <c r="AQ164" s="63" t="str">
        <f t="shared" si="181"/>
        <v>2.1..1</v>
      </c>
      <c r="AR164" s="534"/>
      <c r="AS164" s="64" t="s">
        <v>2008</v>
      </c>
      <c r="AT164" s="95">
        <v>8587.7000000000007</v>
      </c>
      <c r="AU164" s="95">
        <v>9503.2099999999991</v>
      </c>
      <c r="AV164" s="371">
        <f t="shared" si="187"/>
        <v>1.1066071241426689</v>
      </c>
      <c r="AW164" s="95">
        <v>7911.29</v>
      </c>
      <c r="AX164" s="371">
        <f t="shared" si="188"/>
        <v>0.92123502218288944</v>
      </c>
      <c r="AY164" s="95">
        <v>676.41</v>
      </c>
      <c r="AZ164" s="371">
        <f t="shared" si="189"/>
        <v>7.8764977817110504E-2</v>
      </c>
      <c r="BA164" s="47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</row>
    <row r="165" spans="1:68" ht="20.25" customHeight="1">
      <c r="A165" s="100">
        <v>18</v>
      </c>
      <c r="B165" s="100" t="s">
        <v>41</v>
      </c>
      <c r="C165" s="369">
        <v>45217</v>
      </c>
      <c r="D165" s="102" t="s">
        <v>371</v>
      </c>
      <c r="E165" s="100" t="str">
        <f t="shared" si="0"/>
        <v>Sama</v>
      </c>
      <c r="F165" s="63">
        <f t="shared" si="171"/>
        <v>150</v>
      </c>
      <c r="G165" s="63">
        <v>11</v>
      </c>
      <c r="H165" s="87" t="s">
        <v>41</v>
      </c>
      <c r="I165" s="87" t="s">
        <v>371</v>
      </c>
      <c r="J165" s="68">
        <v>13928.26</v>
      </c>
      <c r="K165" s="533" t="s">
        <v>104</v>
      </c>
      <c r="L165" s="68">
        <f>IF(S165&gt;0,S165,IF(Y165&gt;0,Y165,IF(AE165&gt;0,AE165,0)))</f>
        <v>6494</v>
      </c>
      <c r="M165" s="364"/>
      <c r="N165" s="392">
        <f t="shared" si="173"/>
        <v>2012</v>
      </c>
      <c r="O165" s="382" t="s">
        <v>588</v>
      </c>
      <c r="P165" s="68">
        <v>6494</v>
      </c>
      <c r="Q165" s="68" t="s">
        <v>1032</v>
      </c>
      <c r="R165" s="68">
        <v>6494</v>
      </c>
      <c r="S165" s="68">
        <f t="shared" si="174"/>
        <v>6494</v>
      </c>
      <c r="T165" s="364"/>
      <c r="U165" s="382" t="s">
        <v>372</v>
      </c>
      <c r="V165" s="68">
        <v>8145</v>
      </c>
      <c r="W165" s="68" t="s">
        <v>1032</v>
      </c>
      <c r="X165" s="68">
        <v>8145</v>
      </c>
      <c r="Y165" s="68">
        <f t="shared" si="175"/>
        <v>8145</v>
      </c>
      <c r="Z165" s="344"/>
      <c r="AA165" s="382"/>
      <c r="AB165" s="399"/>
      <c r="AC165" s="399"/>
      <c r="AD165" s="344"/>
      <c r="AE165" s="68">
        <f t="shared" si="176"/>
        <v>0</v>
      </c>
      <c r="AF165" s="366">
        <v>2023</v>
      </c>
      <c r="AG165" s="358" t="s">
        <v>1160</v>
      </c>
      <c r="AH165" s="400"/>
      <c r="AI165" s="401"/>
      <c r="AJ165" s="401"/>
      <c r="AK165" s="360" t="str">
        <f t="shared" si="177"/>
        <v/>
      </c>
      <c r="AL165" s="540"/>
      <c r="AM165" s="360" t="str">
        <f t="shared" si="178"/>
        <v>2</v>
      </c>
      <c r="AN165" s="360" t="str">
        <f t="shared" si="179"/>
        <v>1</v>
      </c>
      <c r="AO165" s="360"/>
      <c r="AP165" s="346" t="str">
        <f t="shared" si="180"/>
        <v>1</v>
      </c>
      <c r="AQ165" s="360" t="str">
        <f t="shared" si="181"/>
        <v>2.1..1</v>
      </c>
      <c r="AR165" s="530"/>
      <c r="AS165" s="360"/>
      <c r="AT165" s="362"/>
      <c r="AU165" s="362"/>
      <c r="AV165" s="362"/>
      <c r="AW165" s="362"/>
      <c r="AX165" s="362"/>
      <c r="AY165" s="362"/>
      <c r="AZ165" s="362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</row>
    <row r="166" spans="1:68" ht="20.25" customHeight="1">
      <c r="A166" s="100">
        <v>18</v>
      </c>
      <c r="B166" s="100" t="s">
        <v>41</v>
      </c>
      <c r="C166" s="363">
        <v>45095</v>
      </c>
      <c r="D166" s="102" t="s">
        <v>373</v>
      </c>
      <c r="E166" s="100" t="str">
        <f t="shared" si="0"/>
        <v>Sama</v>
      </c>
      <c r="F166" s="63">
        <f t="shared" si="171"/>
        <v>151</v>
      </c>
      <c r="G166" s="63">
        <v>12</v>
      </c>
      <c r="H166" s="87" t="s">
        <v>41</v>
      </c>
      <c r="I166" s="87" t="s">
        <v>373</v>
      </c>
      <c r="J166" s="68">
        <v>16842.669999999998</v>
      </c>
      <c r="K166" s="533" t="s">
        <v>91</v>
      </c>
      <c r="L166" s="68">
        <f>AE166</f>
        <v>16331.65</v>
      </c>
      <c r="M166" s="364"/>
      <c r="N166" s="392">
        <f t="shared" si="173"/>
        <v>2011</v>
      </c>
      <c r="O166" s="382" t="s">
        <v>1314</v>
      </c>
      <c r="P166" s="68">
        <v>20000</v>
      </c>
      <c r="Q166" s="68" t="s">
        <v>1032</v>
      </c>
      <c r="R166" s="68">
        <v>20000</v>
      </c>
      <c r="S166" s="68">
        <f t="shared" si="174"/>
        <v>20000</v>
      </c>
      <c r="T166" s="364"/>
      <c r="U166" s="382" t="s">
        <v>1315</v>
      </c>
      <c r="V166" s="68">
        <v>18690</v>
      </c>
      <c r="W166" s="68">
        <v>4390</v>
      </c>
      <c r="X166" s="68">
        <v>23080</v>
      </c>
      <c r="Y166" s="68">
        <f t="shared" si="175"/>
        <v>23080</v>
      </c>
      <c r="Z166" s="344" t="s">
        <v>1076</v>
      </c>
      <c r="AA166" s="531" t="s">
        <v>374</v>
      </c>
      <c r="AB166" s="399">
        <v>16331.65</v>
      </c>
      <c r="AC166" s="399">
        <v>1436.12</v>
      </c>
      <c r="AD166" s="344"/>
      <c r="AE166" s="68">
        <f t="shared" si="176"/>
        <v>16331.65</v>
      </c>
      <c r="AF166" s="364">
        <v>2022</v>
      </c>
      <c r="AG166" s="344"/>
      <c r="AH166" s="93"/>
      <c r="AI166" s="87"/>
      <c r="AJ166" s="87"/>
      <c r="AK166" s="63" t="str">
        <f t="shared" si="177"/>
        <v>V</v>
      </c>
      <c r="AL166" s="539"/>
      <c r="AM166" s="63" t="str">
        <f t="shared" si="178"/>
        <v>2</v>
      </c>
      <c r="AN166" s="63" t="str">
        <f t="shared" si="179"/>
        <v>1</v>
      </c>
      <c r="AO166" s="63"/>
      <c r="AP166" s="346" t="str">
        <f t="shared" si="180"/>
        <v>1</v>
      </c>
      <c r="AQ166" s="63" t="str">
        <f t="shared" si="181"/>
        <v>2.1..1</v>
      </c>
      <c r="AR166" s="534"/>
      <c r="AS166" s="64" t="s">
        <v>2009</v>
      </c>
      <c r="AT166" s="95">
        <v>16842.669999999998</v>
      </c>
      <c r="AU166" s="95">
        <v>17767.77</v>
      </c>
      <c r="AV166" s="371">
        <f t="shared" ref="AV166:AV168" si="190">AU166/AT166</f>
        <v>1.054925970763543</v>
      </c>
      <c r="AW166" s="95">
        <v>14997.69</v>
      </c>
      <c r="AX166" s="371">
        <f t="shared" ref="AX166:AX168" si="191">AW166/AT166</f>
        <v>0.89045798558067113</v>
      </c>
      <c r="AY166" s="95">
        <v>1844.98</v>
      </c>
      <c r="AZ166" s="371">
        <f t="shared" ref="AZ166:AZ168" si="192">AY166/AT166</f>
        <v>0.10954201441932901</v>
      </c>
      <c r="BA166" s="47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</row>
    <row r="167" spans="1:68" ht="20.25" customHeight="1">
      <c r="A167" s="100">
        <v>18</v>
      </c>
      <c r="B167" s="100" t="s">
        <v>41</v>
      </c>
      <c r="C167" s="369">
        <v>45278</v>
      </c>
      <c r="D167" s="102" t="s">
        <v>377</v>
      </c>
      <c r="E167" s="100" t="str">
        <f t="shared" si="0"/>
        <v>Beda</v>
      </c>
      <c r="F167" s="63">
        <f t="shared" si="171"/>
        <v>152</v>
      </c>
      <c r="G167" s="63">
        <v>13</v>
      </c>
      <c r="H167" s="87" t="s">
        <v>41</v>
      </c>
      <c r="I167" s="87" t="s">
        <v>375</v>
      </c>
      <c r="J167" s="68">
        <v>6996.64</v>
      </c>
      <c r="K167" s="533" t="s">
        <v>91</v>
      </c>
      <c r="L167" s="68">
        <f>Y167</f>
        <v>14906.96</v>
      </c>
      <c r="M167" s="364"/>
      <c r="N167" s="392">
        <f t="shared" si="173"/>
        <v>2012</v>
      </c>
      <c r="O167" s="382" t="s">
        <v>588</v>
      </c>
      <c r="P167" s="68">
        <v>17323</v>
      </c>
      <c r="Q167" s="68" t="s">
        <v>1032</v>
      </c>
      <c r="R167" s="68">
        <v>17323</v>
      </c>
      <c r="S167" s="68">
        <f t="shared" si="174"/>
        <v>17323</v>
      </c>
      <c r="T167" s="364" t="s">
        <v>1076</v>
      </c>
      <c r="U167" s="382" t="s">
        <v>376</v>
      </c>
      <c r="V167" s="68">
        <v>9935</v>
      </c>
      <c r="W167" s="68">
        <v>4971.96</v>
      </c>
      <c r="X167" s="68">
        <v>14906.96</v>
      </c>
      <c r="Y167" s="68">
        <f t="shared" si="175"/>
        <v>14906.96</v>
      </c>
      <c r="Z167" s="344"/>
      <c r="AA167" s="382"/>
      <c r="AB167" s="399"/>
      <c r="AC167" s="399"/>
      <c r="AD167" s="344"/>
      <c r="AE167" s="68">
        <f t="shared" si="176"/>
        <v>0</v>
      </c>
      <c r="AF167" s="366">
        <v>2020</v>
      </c>
      <c r="AG167" s="358"/>
      <c r="AH167" s="400"/>
      <c r="AI167" s="401"/>
      <c r="AJ167" s="401"/>
      <c r="AK167" s="360" t="str">
        <f t="shared" si="177"/>
        <v>V</v>
      </c>
      <c r="AL167" s="540"/>
      <c r="AM167" s="360" t="str">
        <f t="shared" si="178"/>
        <v>2</v>
      </c>
      <c r="AN167" s="360" t="str">
        <f t="shared" si="179"/>
        <v>1</v>
      </c>
      <c r="AO167" s="360"/>
      <c r="AP167" s="346" t="str">
        <f t="shared" si="180"/>
        <v>1</v>
      </c>
      <c r="AQ167" s="360" t="str">
        <f t="shared" si="181"/>
        <v>2.1..1</v>
      </c>
      <c r="AR167" s="530"/>
      <c r="AS167" s="362" t="s">
        <v>2010</v>
      </c>
      <c r="AT167" s="367">
        <v>6997</v>
      </c>
      <c r="AU167" s="367">
        <v>9943</v>
      </c>
      <c r="AV167" s="368">
        <f t="shared" si="190"/>
        <v>1.4210375875375161</v>
      </c>
      <c r="AW167" s="367">
        <v>6670</v>
      </c>
      <c r="AX167" s="368">
        <f t="shared" si="191"/>
        <v>0.95326568529369726</v>
      </c>
      <c r="AY167" s="362">
        <v>327</v>
      </c>
      <c r="AZ167" s="368">
        <f t="shared" si="192"/>
        <v>4.6734314706302703E-2</v>
      </c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</row>
    <row r="168" spans="1:68" ht="20.25" customHeight="1">
      <c r="A168" s="100">
        <v>18</v>
      </c>
      <c r="B168" s="100" t="s">
        <v>41</v>
      </c>
      <c r="C168" s="363">
        <v>45064</v>
      </c>
      <c r="D168" s="102" t="s">
        <v>375</v>
      </c>
      <c r="E168" s="100" t="str">
        <f t="shared" si="0"/>
        <v>Beda</v>
      </c>
      <c r="F168" s="63">
        <f t="shared" si="171"/>
        <v>153</v>
      </c>
      <c r="G168" s="63">
        <v>14</v>
      </c>
      <c r="H168" s="87" t="s">
        <v>41</v>
      </c>
      <c r="I168" s="87" t="s">
        <v>2011</v>
      </c>
      <c r="J168" s="68">
        <v>51094.78</v>
      </c>
      <c r="K168" s="533" t="s">
        <v>91</v>
      </c>
      <c r="L168" s="68">
        <f>AE168</f>
        <v>46417.83</v>
      </c>
      <c r="M168" s="364"/>
      <c r="N168" s="392">
        <f t="shared" si="173"/>
        <v>2013</v>
      </c>
      <c r="O168" s="382" t="s">
        <v>1318</v>
      </c>
      <c r="P168" s="68">
        <v>25080</v>
      </c>
      <c r="Q168" s="68" t="s">
        <v>1032</v>
      </c>
      <c r="R168" s="68">
        <v>25080</v>
      </c>
      <c r="S168" s="68">
        <f t="shared" si="174"/>
        <v>25080</v>
      </c>
      <c r="T168" s="364"/>
      <c r="U168" s="382" t="s">
        <v>1319</v>
      </c>
      <c r="V168" s="68">
        <v>31800</v>
      </c>
      <c r="W168" s="68" t="s">
        <v>1032</v>
      </c>
      <c r="X168" s="68">
        <v>31800</v>
      </c>
      <c r="Y168" s="68">
        <f t="shared" si="175"/>
        <v>31800</v>
      </c>
      <c r="Z168" s="344" t="s">
        <v>1076</v>
      </c>
      <c r="AA168" s="536" t="s">
        <v>378</v>
      </c>
      <c r="AB168" s="403">
        <v>46417.83</v>
      </c>
      <c r="AC168" s="404">
        <v>2617.5700000000002</v>
      </c>
      <c r="AD168" s="344"/>
      <c r="AE168" s="68">
        <f t="shared" si="176"/>
        <v>46417.83</v>
      </c>
      <c r="AF168" s="364">
        <v>2022</v>
      </c>
      <c r="AG168" s="344"/>
      <c r="AH168" s="93"/>
      <c r="AI168" s="87"/>
      <c r="AJ168" s="87"/>
      <c r="AK168" s="63" t="str">
        <f t="shared" si="177"/>
        <v>V</v>
      </c>
      <c r="AL168" s="539"/>
      <c r="AM168" s="63" t="str">
        <f t="shared" si="178"/>
        <v>2</v>
      </c>
      <c r="AN168" s="63" t="str">
        <f t="shared" si="179"/>
        <v>1</v>
      </c>
      <c r="AO168" s="63"/>
      <c r="AP168" s="346" t="str">
        <f t="shared" si="180"/>
        <v>1</v>
      </c>
      <c r="AQ168" s="63" t="str">
        <f t="shared" si="181"/>
        <v>2.1..1</v>
      </c>
      <c r="AR168" s="534"/>
      <c r="AS168" s="64" t="s">
        <v>2012</v>
      </c>
      <c r="AT168" s="95">
        <v>51094.78</v>
      </c>
      <c r="AU168" s="95">
        <v>49035.4</v>
      </c>
      <c r="AV168" s="371">
        <f t="shared" si="190"/>
        <v>0.95969490425440729</v>
      </c>
      <c r="AW168" s="95">
        <v>47800.23</v>
      </c>
      <c r="AX168" s="371">
        <f t="shared" si="191"/>
        <v>0.93552081054072456</v>
      </c>
      <c r="AY168" s="95">
        <v>3294.55</v>
      </c>
      <c r="AZ168" s="371">
        <f t="shared" si="192"/>
        <v>6.4479189459275499E-2</v>
      </c>
      <c r="BA168" s="47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</row>
    <row r="169" spans="1:68" ht="20.25" customHeight="1">
      <c r="A169" s="100">
        <v>18</v>
      </c>
      <c r="B169" s="100" t="s">
        <v>41</v>
      </c>
      <c r="C169" s="363">
        <v>45156</v>
      </c>
      <c r="D169" s="102" t="s">
        <v>379</v>
      </c>
      <c r="E169" s="100" t="str">
        <f t="shared" si="0"/>
        <v>Sama</v>
      </c>
      <c r="F169" s="63">
        <f t="shared" si="171"/>
        <v>154</v>
      </c>
      <c r="G169" s="63">
        <v>15</v>
      </c>
      <c r="H169" s="87" t="s">
        <v>41</v>
      </c>
      <c r="I169" s="87" t="s">
        <v>379</v>
      </c>
      <c r="J169" s="68">
        <v>14384.18</v>
      </c>
      <c r="K169" s="533" t="s">
        <v>104</v>
      </c>
      <c r="L169" s="68">
        <f>IF(S169&gt;0,S169,IF(Y169&gt;0,Y169,IF(AE169&gt;0,AE169,0)))</f>
        <v>8479</v>
      </c>
      <c r="M169" s="364"/>
      <c r="N169" s="392">
        <f t="shared" si="173"/>
        <v>2011</v>
      </c>
      <c r="O169" s="382" t="s">
        <v>1321</v>
      </c>
      <c r="P169" s="68">
        <v>8479</v>
      </c>
      <c r="Q169" s="68" t="s">
        <v>1032</v>
      </c>
      <c r="R169" s="68">
        <v>8479</v>
      </c>
      <c r="S169" s="68">
        <f t="shared" si="174"/>
        <v>8479</v>
      </c>
      <c r="T169" s="364"/>
      <c r="U169" s="382" t="s">
        <v>380</v>
      </c>
      <c r="V169" s="68">
        <v>18784</v>
      </c>
      <c r="W169" s="68">
        <v>7500</v>
      </c>
      <c r="X169" s="68">
        <v>26284</v>
      </c>
      <c r="Y169" s="68">
        <f t="shared" si="175"/>
        <v>26284</v>
      </c>
      <c r="Z169" s="344"/>
      <c r="AA169" s="382"/>
      <c r="AB169" s="344"/>
      <c r="AC169" s="344"/>
      <c r="AD169" s="344"/>
      <c r="AE169" s="68">
        <f t="shared" si="176"/>
        <v>0</v>
      </c>
      <c r="AF169" s="366">
        <v>2023</v>
      </c>
      <c r="AG169" s="358" t="s">
        <v>1160</v>
      </c>
      <c r="AH169" s="400"/>
      <c r="AI169" s="401"/>
      <c r="AJ169" s="401"/>
      <c r="AK169" s="360" t="str">
        <f t="shared" si="177"/>
        <v/>
      </c>
      <c r="AL169" s="540"/>
      <c r="AM169" s="360" t="str">
        <f t="shared" si="178"/>
        <v>2</v>
      </c>
      <c r="AN169" s="360" t="str">
        <f t="shared" si="179"/>
        <v>1</v>
      </c>
      <c r="AO169" s="360"/>
      <c r="AP169" s="346" t="str">
        <f t="shared" si="180"/>
        <v>1</v>
      </c>
      <c r="AQ169" s="360" t="str">
        <f t="shared" si="181"/>
        <v>2.1..1</v>
      </c>
      <c r="AR169" s="530"/>
      <c r="AS169" s="360"/>
      <c r="AT169" s="362"/>
      <c r="AU169" s="362"/>
      <c r="AV169" s="362"/>
      <c r="AW169" s="362"/>
      <c r="AX169" s="362"/>
      <c r="AY169" s="362"/>
      <c r="AZ169" s="362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</row>
    <row r="170" spans="1:68" ht="20.25" customHeight="1">
      <c r="A170" s="100">
        <v>36</v>
      </c>
      <c r="B170" s="100" t="s">
        <v>44</v>
      </c>
      <c r="C170" s="100">
        <v>36</v>
      </c>
      <c r="D170" s="102" t="s">
        <v>2013</v>
      </c>
      <c r="E170" s="100" t="str">
        <f t="shared" si="0"/>
        <v>Sama</v>
      </c>
      <c r="F170" s="63"/>
      <c r="G170" s="341"/>
      <c r="H170" s="379"/>
      <c r="I170" s="379" t="s">
        <v>2013</v>
      </c>
      <c r="J170" s="380">
        <f>SUM(J171:J178)</f>
        <v>204334.97639072727</v>
      </c>
      <c r="K170" s="353">
        <f>COUNTIF(K171:K178,"D") + COUNTIF(K171:K178,"DS")</f>
        <v>6</v>
      </c>
      <c r="L170" s="384">
        <f>SUBTOTAL(9,L171:L178)</f>
        <v>123382.44</v>
      </c>
      <c r="M170" s="342">
        <f>COUNTIF(M171:M178,T175)</f>
        <v>4</v>
      </c>
      <c r="N170" s="386"/>
      <c r="O170" s="351"/>
      <c r="P170" s="384">
        <f t="shared" ref="P170:S170" si="193">SUBTOTAL(9,P171:P178)</f>
        <v>83904.290000000008</v>
      </c>
      <c r="Q170" s="384">
        <f t="shared" si="193"/>
        <v>0</v>
      </c>
      <c r="R170" s="384">
        <f t="shared" si="193"/>
        <v>135608.35</v>
      </c>
      <c r="S170" s="384">
        <f t="shared" si="193"/>
        <v>135608.35</v>
      </c>
      <c r="T170" s="342"/>
      <c r="U170" s="351"/>
      <c r="V170" s="384">
        <v>28610.46</v>
      </c>
      <c r="W170" s="384">
        <v>2355.63</v>
      </c>
      <c r="X170" s="384">
        <v>27944.09</v>
      </c>
      <c r="Y170" s="384">
        <f>SUBTOTAL(9,Y171:Y178)</f>
        <v>30966.09</v>
      </c>
      <c r="Z170" s="337"/>
      <c r="AA170" s="351"/>
      <c r="AB170" s="337"/>
      <c r="AC170" s="337"/>
      <c r="AD170" s="337"/>
      <c r="AE170" s="384">
        <f>SUBTOTAL(9,AE171:AE178)</f>
        <v>0</v>
      </c>
      <c r="AF170" s="357" t="s">
        <v>1138</v>
      </c>
      <c r="AG170" s="358"/>
      <c r="AH170" s="359">
        <f>SUM(AH171:AH178)</f>
        <v>185998.25792541142</v>
      </c>
      <c r="AI170" s="360"/>
      <c r="AJ170" s="360"/>
      <c r="AK170" s="361">
        <f>COUNTIF(AK171:AK178,"V") + COUNTIF(AK171:AK178,"VV") + COUNTIF(AK171:AK178,"VVV")</f>
        <v>5</v>
      </c>
      <c r="AL170" s="18"/>
      <c r="AM170" s="360"/>
      <c r="AN170" s="360"/>
      <c r="AO170" s="360"/>
      <c r="AP170" s="346"/>
      <c r="AQ170" s="360"/>
      <c r="AR170" s="530"/>
      <c r="AS170" s="360"/>
      <c r="AT170" s="362"/>
      <c r="AU170" s="362"/>
      <c r="AV170" s="362"/>
      <c r="AW170" s="362"/>
      <c r="AX170" s="362"/>
      <c r="AY170" s="362"/>
      <c r="AZ170" s="362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</row>
    <row r="171" spans="1:68" ht="20.25" customHeight="1">
      <c r="A171" s="100">
        <v>36</v>
      </c>
      <c r="B171" s="100" t="s">
        <v>44</v>
      </c>
      <c r="C171" s="100" t="s">
        <v>2014</v>
      </c>
      <c r="D171" s="102" t="s">
        <v>381</v>
      </c>
      <c r="E171" s="100" t="str">
        <f t="shared" si="0"/>
        <v>Sama</v>
      </c>
      <c r="F171" s="63">
        <f t="shared" ref="F171:F177" si="194">SUBTOTAL(3,$G$7:G171)</f>
        <v>155</v>
      </c>
      <c r="G171" s="63">
        <v>1</v>
      </c>
      <c r="H171" s="62" t="s">
        <v>44</v>
      </c>
      <c r="I171" s="62" t="s">
        <v>381</v>
      </c>
      <c r="J171" s="66">
        <v>1690.7821386697183</v>
      </c>
      <c r="K171" s="533" t="s">
        <v>91</v>
      </c>
      <c r="L171" s="68">
        <f t="shared" ref="L171:L174" si="195">IF(S171&gt;0,S171,IF(Y171&gt;0,Y171,IF(AE171&gt;0,AE171,0)))</f>
        <v>469</v>
      </c>
      <c r="M171" s="63" t="s">
        <v>1076</v>
      </c>
      <c r="N171" s="365">
        <f t="shared" ref="N171:N178" si="196">VALUE(RIGHT(O171,4))</f>
        <v>2020</v>
      </c>
      <c r="O171" s="347" t="s">
        <v>262</v>
      </c>
      <c r="P171" s="370">
        <v>0</v>
      </c>
      <c r="Q171" s="370">
        <v>0</v>
      </c>
      <c r="R171" s="370">
        <v>469</v>
      </c>
      <c r="S171" s="68">
        <f t="shared" ref="S171:S178" si="197">IF(R171&gt;0,R171,IF(P171&gt;0,P171,0))</f>
        <v>469</v>
      </c>
      <c r="T171" s="405"/>
      <c r="U171" s="347"/>
      <c r="V171" s="370"/>
      <c r="W171" s="370"/>
      <c r="X171" s="370"/>
      <c r="Y171" s="68">
        <f t="shared" ref="Y171:Y178" si="198">IF(X171&gt;0,X171,IF(V171&gt;0,V171,0))</f>
        <v>0</v>
      </c>
      <c r="Z171" s="345"/>
      <c r="AA171" s="347"/>
      <c r="AB171" s="345"/>
      <c r="AC171" s="345"/>
      <c r="AD171" s="345"/>
      <c r="AE171" s="68">
        <f t="shared" ref="AE171:AE178" si="199">IF(AD171&gt;0,AD171,IF(AB171&gt;0,AB171,0))</f>
        <v>0</v>
      </c>
      <c r="AF171" s="366">
        <v>2020</v>
      </c>
      <c r="AG171" s="358"/>
      <c r="AH171" s="359">
        <v>1393.0312050563846</v>
      </c>
      <c r="AI171" s="360"/>
      <c r="AJ171" s="360"/>
      <c r="AK171" s="360" t="str">
        <f t="shared" ref="AK171:AK178" si="200">CONCATENATE(M171,T171,Z171)</f>
        <v>V</v>
      </c>
      <c r="AL171" s="18"/>
      <c r="AM171" s="360" t="str">
        <f t="shared" ref="AM171:AM178" si="201">IF(N171=0,"3",IF(N171&lt;=2018,"2","1"))</f>
        <v>1</v>
      </c>
      <c r="AN171" s="360" t="str">
        <f t="shared" ref="AN171:AN178" si="202">IF(S171&gt;0,"1","2")</f>
        <v>1</v>
      </c>
      <c r="AO171" s="360"/>
      <c r="AP171" s="346" t="str">
        <f t="shared" ref="AP171:AP178" si="203">IF(Y171&gt;0,"1",IF(AE171&gt;0,"1","2"))</f>
        <v>2</v>
      </c>
      <c r="AQ171" s="360" t="str">
        <f t="shared" ref="AQ171:AQ178" si="204">CONCATENATE(AM171,".",AN171,".",AO171,".",AP171)</f>
        <v>1.1..2</v>
      </c>
      <c r="AR171" s="530"/>
      <c r="AS171" s="362" t="s">
        <v>262</v>
      </c>
      <c r="AT171" s="367">
        <v>1691</v>
      </c>
      <c r="AU171" s="362">
        <v>469</v>
      </c>
      <c r="AV171" s="368">
        <f t="shared" ref="AV171:AV172" si="205">AU171/AT171</f>
        <v>0.27735068007096392</v>
      </c>
      <c r="AW171" s="362">
        <v>271</v>
      </c>
      <c r="AX171" s="368">
        <f t="shared" ref="AX171:AX172" si="206">AW171/AT171</f>
        <v>0.1602602010644589</v>
      </c>
      <c r="AY171" s="367">
        <v>1420</v>
      </c>
      <c r="AZ171" s="368">
        <f t="shared" ref="AZ171:AZ172" si="207">AY171/AT171</f>
        <v>0.83973979893554107</v>
      </c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</row>
    <row r="172" spans="1:68" ht="20.25" customHeight="1">
      <c r="A172" s="100">
        <v>36</v>
      </c>
      <c r="B172" s="100" t="s">
        <v>44</v>
      </c>
      <c r="C172" s="100" t="s">
        <v>2015</v>
      </c>
      <c r="D172" s="102" t="s">
        <v>382</v>
      </c>
      <c r="E172" s="100" t="str">
        <f t="shared" si="0"/>
        <v>Sama</v>
      </c>
      <c r="F172" s="63">
        <f t="shared" si="194"/>
        <v>156</v>
      </c>
      <c r="G172" s="63">
        <v>2</v>
      </c>
      <c r="H172" s="62" t="s">
        <v>44</v>
      </c>
      <c r="I172" s="62" t="s">
        <v>382</v>
      </c>
      <c r="J172" s="66">
        <v>8475.3453568485402</v>
      </c>
      <c r="K172" s="533" t="s">
        <v>91</v>
      </c>
      <c r="L172" s="68">
        <f t="shared" si="195"/>
        <v>3054</v>
      </c>
      <c r="M172" s="63" t="s">
        <v>1076</v>
      </c>
      <c r="N172" s="365">
        <f t="shared" si="196"/>
        <v>2020</v>
      </c>
      <c r="O172" s="347" t="s">
        <v>248</v>
      </c>
      <c r="P172" s="370">
        <v>3022</v>
      </c>
      <c r="Q172" s="370">
        <v>0</v>
      </c>
      <c r="R172" s="370">
        <v>3054</v>
      </c>
      <c r="S172" s="68">
        <f t="shared" si="197"/>
        <v>3054</v>
      </c>
      <c r="T172" s="63"/>
      <c r="U172" s="385" t="s">
        <v>1517</v>
      </c>
      <c r="V172" s="370">
        <v>3022</v>
      </c>
      <c r="W172" s="370">
        <v>0</v>
      </c>
      <c r="X172" s="370">
        <v>0</v>
      </c>
      <c r="Y172" s="68">
        <f t="shared" si="198"/>
        <v>3022</v>
      </c>
      <c r="Z172" s="345"/>
      <c r="AA172" s="385"/>
      <c r="AB172" s="345"/>
      <c r="AC172" s="345"/>
      <c r="AD172" s="345"/>
      <c r="AE172" s="68">
        <f t="shared" si="199"/>
        <v>0</v>
      </c>
      <c r="AF172" s="366">
        <v>2020</v>
      </c>
      <c r="AG172" s="358"/>
      <c r="AH172" s="359">
        <v>7612.4995598744035</v>
      </c>
      <c r="AI172" s="360"/>
      <c r="AJ172" s="360"/>
      <c r="AK172" s="360" t="str">
        <f t="shared" si="200"/>
        <v>V</v>
      </c>
      <c r="AL172" s="18"/>
      <c r="AM172" s="360" t="str">
        <f t="shared" si="201"/>
        <v>1</v>
      </c>
      <c r="AN172" s="360" t="str">
        <f t="shared" si="202"/>
        <v>1</v>
      </c>
      <c r="AO172" s="360"/>
      <c r="AP172" s="346" t="str">
        <f t="shared" si="203"/>
        <v>1</v>
      </c>
      <c r="AQ172" s="360" t="str">
        <f t="shared" si="204"/>
        <v>1.1..1</v>
      </c>
      <c r="AR172" s="530"/>
      <c r="AS172" s="362" t="s">
        <v>248</v>
      </c>
      <c r="AT172" s="367">
        <v>8475</v>
      </c>
      <c r="AU172" s="367">
        <v>3055</v>
      </c>
      <c r="AV172" s="368">
        <f t="shared" si="205"/>
        <v>0.36047197640117995</v>
      </c>
      <c r="AW172" s="367">
        <v>2888</v>
      </c>
      <c r="AX172" s="368">
        <f t="shared" si="206"/>
        <v>0.34076696165191739</v>
      </c>
      <c r="AY172" s="367">
        <v>5587</v>
      </c>
      <c r="AZ172" s="368">
        <f t="shared" si="207"/>
        <v>0.65923303834808256</v>
      </c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</row>
    <row r="173" spans="1:68" ht="20.25" customHeight="1">
      <c r="A173" s="100">
        <v>36</v>
      </c>
      <c r="B173" s="100" t="s">
        <v>44</v>
      </c>
      <c r="C173" s="100" t="s">
        <v>2016</v>
      </c>
      <c r="D173" s="102" t="s">
        <v>383</v>
      </c>
      <c r="E173" s="100" t="str">
        <f t="shared" si="0"/>
        <v>Sama</v>
      </c>
      <c r="F173" s="63">
        <f t="shared" si="194"/>
        <v>157</v>
      </c>
      <c r="G173" s="63">
        <v>3</v>
      </c>
      <c r="H173" s="62" t="s">
        <v>44</v>
      </c>
      <c r="I173" s="62" t="s">
        <v>383</v>
      </c>
      <c r="J173" s="66">
        <v>1142.6688342999996</v>
      </c>
      <c r="K173" s="533" t="s">
        <v>661</v>
      </c>
      <c r="L173" s="68">
        <f t="shared" si="195"/>
        <v>0</v>
      </c>
      <c r="M173" s="63"/>
      <c r="N173" s="365" t="e">
        <f t="shared" si="196"/>
        <v>#VALUE!</v>
      </c>
      <c r="O173" s="347"/>
      <c r="P173" s="370"/>
      <c r="Q173" s="370"/>
      <c r="R173" s="370"/>
      <c r="S173" s="68">
        <f t="shared" si="197"/>
        <v>0</v>
      </c>
      <c r="T173" s="63"/>
      <c r="U173" s="385"/>
      <c r="V173" s="370"/>
      <c r="W173" s="370"/>
      <c r="X173" s="370"/>
      <c r="Y173" s="68">
        <f t="shared" si="198"/>
        <v>0</v>
      </c>
      <c r="Z173" s="345"/>
      <c r="AA173" s="385"/>
      <c r="AB173" s="345"/>
      <c r="AC173" s="345"/>
      <c r="AD173" s="345"/>
      <c r="AE173" s="68">
        <f t="shared" si="199"/>
        <v>0</v>
      </c>
      <c r="AF173" s="366" t="s">
        <v>1097</v>
      </c>
      <c r="AG173" s="358"/>
      <c r="AH173" s="359">
        <v>270.41855949785412</v>
      </c>
      <c r="AI173" s="360"/>
      <c r="AJ173" s="360"/>
      <c r="AK173" s="360" t="str">
        <f t="shared" si="200"/>
        <v/>
      </c>
      <c r="AL173" s="18"/>
      <c r="AM173" s="360" t="e">
        <f t="shared" si="201"/>
        <v>#VALUE!</v>
      </c>
      <c r="AN173" s="360" t="str">
        <f t="shared" si="202"/>
        <v>2</v>
      </c>
      <c r="AO173" s="360"/>
      <c r="AP173" s="346" t="str">
        <f t="shared" si="203"/>
        <v>2</v>
      </c>
      <c r="AQ173" s="360" t="e">
        <f t="shared" si="204"/>
        <v>#VALUE!</v>
      </c>
      <c r="AR173" s="530"/>
      <c r="AS173" s="360"/>
      <c r="AT173" s="362"/>
      <c r="AU173" s="362"/>
      <c r="AV173" s="362"/>
      <c r="AW173" s="362"/>
      <c r="AX173" s="362"/>
      <c r="AY173" s="362"/>
      <c r="AZ173" s="362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</row>
    <row r="174" spans="1:68" ht="20.25" customHeight="1">
      <c r="A174" s="100">
        <v>36</v>
      </c>
      <c r="B174" s="100" t="s">
        <v>44</v>
      </c>
      <c r="C174" s="100" t="s">
        <v>2017</v>
      </c>
      <c r="D174" s="102" t="s">
        <v>384</v>
      </c>
      <c r="E174" s="100" t="str">
        <f t="shared" si="0"/>
        <v>Sama</v>
      </c>
      <c r="F174" s="63">
        <f t="shared" si="194"/>
        <v>158</v>
      </c>
      <c r="G174" s="63">
        <v>4</v>
      </c>
      <c r="H174" s="62" t="s">
        <v>44</v>
      </c>
      <c r="I174" s="62" t="s">
        <v>384</v>
      </c>
      <c r="J174" s="66">
        <v>238.12782510000002</v>
      </c>
      <c r="K174" s="533" t="s">
        <v>661</v>
      </c>
      <c r="L174" s="68">
        <f t="shared" si="195"/>
        <v>0</v>
      </c>
      <c r="M174" s="63"/>
      <c r="N174" s="365" t="e">
        <f t="shared" si="196"/>
        <v>#VALUE!</v>
      </c>
      <c r="O174" s="347"/>
      <c r="P174" s="370"/>
      <c r="Q174" s="370"/>
      <c r="R174" s="370"/>
      <c r="S174" s="68">
        <f t="shared" si="197"/>
        <v>0</v>
      </c>
      <c r="T174" s="63"/>
      <c r="U174" s="385"/>
      <c r="V174" s="370"/>
      <c r="W174" s="370"/>
      <c r="X174" s="370"/>
      <c r="Y174" s="68">
        <f t="shared" si="198"/>
        <v>0</v>
      </c>
      <c r="Z174" s="345"/>
      <c r="AA174" s="385"/>
      <c r="AB174" s="345"/>
      <c r="AC174" s="345"/>
      <c r="AD174" s="345"/>
      <c r="AE174" s="68">
        <f t="shared" si="199"/>
        <v>0</v>
      </c>
      <c r="AF174" s="366" t="s">
        <v>1097</v>
      </c>
      <c r="AG174" s="358"/>
      <c r="AH174" s="359">
        <v>0</v>
      </c>
      <c r="AI174" s="360"/>
      <c r="AJ174" s="360"/>
      <c r="AK174" s="360" t="str">
        <f t="shared" si="200"/>
        <v/>
      </c>
      <c r="AL174" s="18"/>
      <c r="AM174" s="360" t="e">
        <f t="shared" si="201"/>
        <v>#VALUE!</v>
      </c>
      <c r="AN174" s="360" t="str">
        <f t="shared" si="202"/>
        <v>2</v>
      </c>
      <c r="AO174" s="360"/>
      <c r="AP174" s="346" t="str">
        <f t="shared" si="203"/>
        <v>2</v>
      </c>
      <c r="AQ174" s="360" t="e">
        <f t="shared" si="204"/>
        <v>#VALUE!</v>
      </c>
      <c r="AR174" s="530"/>
      <c r="AS174" s="360"/>
      <c r="AT174" s="362"/>
      <c r="AU174" s="362"/>
      <c r="AV174" s="362"/>
      <c r="AW174" s="362"/>
      <c r="AX174" s="362"/>
      <c r="AY174" s="362"/>
      <c r="AZ174" s="362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</row>
    <row r="175" spans="1:68" ht="20.25" customHeight="1">
      <c r="A175" s="100">
        <v>36</v>
      </c>
      <c r="B175" s="100" t="s">
        <v>44</v>
      </c>
      <c r="C175" s="100" t="s">
        <v>2018</v>
      </c>
      <c r="D175" s="102" t="s">
        <v>386</v>
      </c>
      <c r="E175" s="100" t="str">
        <f t="shared" si="0"/>
        <v>Sama</v>
      </c>
      <c r="F175" s="63">
        <f t="shared" si="194"/>
        <v>159</v>
      </c>
      <c r="G175" s="63">
        <v>5</v>
      </c>
      <c r="H175" s="62" t="s">
        <v>44</v>
      </c>
      <c r="I175" s="62" t="s">
        <v>386</v>
      </c>
      <c r="J175" s="66">
        <v>51296.922502830173</v>
      </c>
      <c r="K175" s="533" t="s">
        <v>91</v>
      </c>
      <c r="L175" s="68">
        <f>Y175</f>
        <v>27944.09</v>
      </c>
      <c r="M175" s="63"/>
      <c r="N175" s="392">
        <f t="shared" si="196"/>
        <v>2014</v>
      </c>
      <c r="O175" s="382" t="s">
        <v>1225</v>
      </c>
      <c r="P175" s="68">
        <v>40170</v>
      </c>
      <c r="Q175" s="68">
        <v>0</v>
      </c>
      <c r="R175" s="68">
        <v>40170</v>
      </c>
      <c r="S175" s="68">
        <f t="shared" si="197"/>
        <v>40170</v>
      </c>
      <c r="T175" s="63" t="s">
        <v>1076</v>
      </c>
      <c r="U175" s="385" t="s">
        <v>1521</v>
      </c>
      <c r="V175" s="370">
        <v>25588.46</v>
      </c>
      <c r="W175" s="370">
        <v>2355.63</v>
      </c>
      <c r="X175" s="370">
        <v>27944.09</v>
      </c>
      <c r="Y175" s="68">
        <f t="shared" si="198"/>
        <v>27944.09</v>
      </c>
      <c r="Z175" s="345"/>
      <c r="AA175" s="385"/>
      <c r="AB175" s="345"/>
      <c r="AC175" s="345"/>
      <c r="AD175" s="345"/>
      <c r="AE175" s="68">
        <f t="shared" si="199"/>
        <v>0</v>
      </c>
      <c r="AF175" s="366">
        <v>2020</v>
      </c>
      <c r="AG175" s="358"/>
      <c r="AH175" s="359">
        <v>49514.726795736722</v>
      </c>
      <c r="AI175" s="360"/>
      <c r="AJ175" s="360"/>
      <c r="AK175" s="360" t="str">
        <f t="shared" si="200"/>
        <v>V</v>
      </c>
      <c r="AL175" s="18"/>
      <c r="AM175" s="360" t="str">
        <f t="shared" si="201"/>
        <v>2</v>
      </c>
      <c r="AN175" s="360" t="str">
        <f t="shared" si="202"/>
        <v>1</v>
      </c>
      <c r="AO175" s="360"/>
      <c r="AP175" s="346" t="str">
        <f t="shared" si="203"/>
        <v>1</v>
      </c>
      <c r="AQ175" s="360" t="str">
        <f t="shared" si="204"/>
        <v>2.1..1</v>
      </c>
      <c r="AR175" s="530"/>
      <c r="AS175" s="362" t="s">
        <v>2019</v>
      </c>
      <c r="AT175" s="367">
        <v>51297</v>
      </c>
      <c r="AU175" s="367">
        <v>27945</v>
      </c>
      <c r="AV175" s="368">
        <f t="shared" ref="AV175:AV176" si="208">AU175/AT175</f>
        <v>0.54476869992397214</v>
      </c>
      <c r="AW175" s="367">
        <v>25951</v>
      </c>
      <c r="AX175" s="368">
        <f t="shared" ref="AX175:AX176" si="209">AW175/AT175</f>
        <v>0.50589703101545902</v>
      </c>
      <c r="AY175" s="367">
        <v>25345</v>
      </c>
      <c r="AZ175" s="368">
        <f t="shared" ref="AZ175:AZ176" si="210">AY175/AT175</f>
        <v>0.49408347466713454</v>
      </c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</row>
    <row r="176" spans="1:68" ht="20.25" customHeight="1">
      <c r="A176" s="100">
        <v>36</v>
      </c>
      <c r="B176" s="100" t="s">
        <v>44</v>
      </c>
      <c r="C176" s="100" t="s">
        <v>2020</v>
      </c>
      <c r="D176" s="102" t="s">
        <v>388</v>
      </c>
      <c r="E176" s="100" t="str">
        <f t="shared" si="0"/>
        <v>Sama</v>
      </c>
      <c r="F176" s="63">
        <f t="shared" si="194"/>
        <v>160</v>
      </c>
      <c r="G176" s="63">
        <v>6</v>
      </c>
      <c r="H176" s="62" t="s">
        <v>44</v>
      </c>
      <c r="I176" s="62" t="s">
        <v>388</v>
      </c>
      <c r="J176" s="66">
        <v>52640.031897197441</v>
      </c>
      <c r="K176" s="533" t="s">
        <v>91</v>
      </c>
      <c r="L176" s="68">
        <f t="shared" ref="L176:L178" si="211">IF(S176&gt;0,S176,IF(Y176&gt;0,Y176,IF(AE176&gt;0,AE176,0)))</f>
        <v>45755</v>
      </c>
      <c r="M176" s="63" t="s">
        <v>1076</v>
      </c>
      <c r="N176" s="365">
        <f t="shared" si="196"/>
        <v>2020</v>
      </c>
      <c r="O176" s="347" t="s">
        <v>389</v>
      </c>
      <c r="P176" s="370">
        <v>0</v>
      </c>
      <c r="Q176" s="370">
        <v>0</v>
      </c>
      <c r="R176" s="370">
        <v>45755</v>
      </c>
      <c r="S176" s="68">
        <f t="shared" si="197"/>
        <v>45755</v>
      </c>
      <c r="T176" s="405"/>
      <c r="U176" s="347"/>
      <c r="V176" s="370"/>
      <c r="W176" s="370"/>
      <c r="X176" s="370"/>
      <c r="Y176" s="68">
        <f t="shared" si="198"/>
        <v>0</v>
      </c>
      <c r="Z176" s="345"/>
      <c r="AA176" s="347"/>
      <c r="AB176" s="345"/>
      <c r="AC176" s="345"/>
      <c r="AD176" s="345"/>
      <c r="AE176" s="68">
        <f t="shared" si="199"/>
        <v>0</v>
      </c>
      <c r="AF176" s="364" t="s">
        <v>1129</v>
      </c>
      <c r="AG176" s="344" t="s">
        <v>1160</v>
      </c>
      <c r="AH176" s="84">
        <v>49502.868801612967</v>
      </c>
      <c r="AI176" s="63"/>
      <c r="AJ176" s="63"/>
      <c r="AK176" s="63" t="str">
        <f t="shared" si="200"/>
        <v>V</v>
      </c>
      <c r="AL176" s="47"/>
      <c r="AM176" s="63" t="str">
        <f t="shared" si="201"/>
        <v>1</v>
      </c>
      <c r="AN176" s="63" t="str">
        <f t="shared" si="202"/>
        <v>1</v>
      </c>
      <c r="AO176" s="63"/>
      <c r="AP176" s="346" t="str">
        <f t="shared" si="203"/>
        <v>2</v>
      </c>
      <c r="AQ176" s="63" t="str">
        <f t="shared" si="204"/>
        <v>1.1..2</v>
      </c>
      <c r="AR176" s="534"/>
      <c r="AS176" s="347"/>
      <c r="AT176" s="95"/>
      <c r="AU176" s="95"/>
      <c r="AV176" s="371" t="e">
        <f t="shared" si="208"/>
        <v>#DIV/0!</v>
      </c>
      <c r="AW176" s="95"/>
      <c r="AX176" s="371" t="e">
        <f t="shared" si="209"/>
        <v>#DIV/0!</v>
      </c>
      <c r="AY176" s="95"/>
      <c r="AZ176" s="371" t="e">
        <f t="shared" si="210"/>
        <v>#DIV/0!</v>
      </c>
      <c r="BA176" s="47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</row>
    <row r="177" spans="1:68" ht="20.25" customHeight="1">
      <c r="A177" s="100">
        <v>36</v>
      </c>
      <c r="B177" s="100" t="s">
        <v>44</v>
      </c>
      <c r="C177" s="100" t="s">
        <v>2021</v>
      </c>
      <c r="D177" s="102" t="s">
        <v>390</v>
      </c>
      <c r="E177" s="100" t="str">
        <f t="shared" si="0"/>
        <v>Sama</v>
      </c>
      <c r="F177" s="63">
        <f t="shared" si="194"/>
        <v>161</v>
      </c>
      <c r="G177" s="63">
        <v>7</v>
      </c>
      <c r="H177" s="62" t="s">
        <v>44</v>
      </c>
      <c r="I177" s="62" t="s">
        <v>390</v>
      </c>
      <c r="J177" s="66">
        <v>49462.563132418974</v>
      </c>
      <c r="K177" s="533" t="s">
        <v>104</v>
      </c>
      <c r="L177" s="68">
        <f t="shared" si="211"/>
        <v>32229.350000000002</v>
      </c>
      <c r="M177" s="63"/>
      <c r="N177" s="365">
        <f t="shared" si="196"/>
        <v>2020</v>
      </c>
      <c r="O177" s="347" t="s">
        <v>155</v>
      </c>
      <c r="P177" s="370">
        <v>28084.29</v>
      </c>
      <c r="Q177" s="370">
        <v>0</v>
      </c>
      <c r="R177" s="370">
        <v>32229.350000000002</v>
      </c>
      <c r="S177" s="68">
        <f t="shared" si="197"/>
        <v>32229.350000000002</v>
      </c>
      <c r="T177" s="63"/>
      <c r="U177" s="347"/>
      <c r="V177" s="370"/>
      <c r="W177" s="370"/>
      <c r="X177" s="370"/>
      <c r="Y177" s="68">
        <f t="shared" si="198"/>
        <v>0</v>
      </c>
      <c r="Z177" s="345"/>
      <c r="AA177" s="347"/>
      <c r="AB177" s="345"/>
      <c r="AC177" s="345"/>
      <c r="AD177" s="345"/>
      <c r="AE177" s="68">
        <f t="shared" si="199"/>
        <v>0</v>
      </c>
      <c r="AF177" s="366" t="s">
        <v>1097</v>
      </c>
      <c r="AG177" s="358"/>
      <c r="AH177" s="359">
        <v>41431.01237115937</v>
      </c>
      <c r="AI177" s="360"/>
      <c r="AJ177" s="360"/>
      <c r="AK177" s="360" t="str">
        <f t="shared" si="200"/>
        <v/>
      </c>
      <c r="AL177" s="18"/>
      <c r="AM177" s="360" t="str">
        <f t="shared" si="201"/>
        <v>1</v>
      </c>
      <c r="AN177" s="360" t="str">
        <f t="shared" si="202"/>
        <v>1</v>
      </c>
      <c r="AO177" s="360"/>
      <c r="AP177" s="346" t="str">
        <f t="shared" si="203"/>
        <v>2</v>
      </c>
      <c r="AQ177" s="360" t="str">
        <f t="shared" si="204"/>
        <v>1.1..2</v>
      </c>
      <c r="AR177" s="530"/>
      <c r="AS177" s="360"/>
      <c r="AT177" s="362"/>
      <c r="AU177" s="362"/>
      <c r="AV177" s="362"/>
      <c r="AW177" s="362"/>
      <c r="AX177" s="362"/>
      <c r="AY177" s="362"/>
      <c r="AZ177" s="362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</row>
    <row r="178" spans="1:68" ht="20.25" customHeight="1">
      <c r="A178" s="100">
        <v>36</v>
      </c>
      <c r="B178" s="100" t="s">
        <v>44</v>
      </c>
      <c r="C178" s="100" t="s">
        <v>2022</v>
      </c>
      <c r="D178" s="102" t="s">
        <v>391</v>
      </c>
      <c r="E178" s="100" t="str">
        <f t="shared" si="0"/>
        <v>Sama</v>
      </c>
      <c r="F178" s="63">
        <f>SUBTOTAL(3,$G$7:G287)</f>
        <v>267</v>
      </c>
      <c r="G178" s="63">
        <v>8</v>
      </c>
      <c r="H178" s="62" t="s">
        <v>44</v>
      </c>
      <c r="I178" s="62" t="s">
        <v>391</v>
      </c>
      <c r="J178" s="66">
        <v>39388.534703362435</v>
      </c>
      <c r="K178" s="533" t="s">
        <v>91</v>
      </c>
      <c r="L178" s="68">
        <f t="shared" si="211"/>
        <v>13931</v>
      </c>
      <c r="M178" s="63" t="s">
        <v>1076</v>
      </c>
      <c r="N178" s="365">
        <f t="shared" si="196"/>
        <v>2020</v>
      </c>
      <c r="O178" s="347" t="s">
        <v>392</v>
      </c>
      <c r="P178" s="370">
        <v>12628</v>
      </c>
      <c r="Q178" s="370">
        <v>0</v>
      </c>
      <c r="R178" s="370">
        <v>13931</v>
      </c>
      <c r="S178" s="68">
        <f t="shared" si="197"/>
        <v>13931</v>
      </c>
      <c r="T178" s="63"/>
      <c r="U178" s="347"/>
      <c r="V178" s="370"/>
      <c r="W178" s="370"/>
      <c r="X178" s="370"/>
      <c r="Y178" s="68">
        <f t="shared" si="198"/>
        <v>0</v>
      </c>
      <c r="Z178" s="345"/>
      <c r="AA178" s="347"/>
      <c r="AB178" s="345"/>
      <c r="AC178" s="345"/>
      <c r="AD178" s="345"/>
      <c r="AE178" s="68">
        <f t="shared" si="199"/>
        <v>0</v>
      </c>
      <c r="AF178" s="366">
        <v>2020</v>
      </c>
      <c r="AG178" s="358"/>
      <c r="AH178" s="359">
        <v>36273.700632473709</v>
      </c>
      <c r="AI178" s="360"/>
      <c r="AJ178" s="360"/>
      <c r="AK178" s="360" t="str">
        <f t="shared" si="200"/>
        <v>V</v>
      </c>
      <c r="AL178" s="18"/>
      <c r="AM178" s="360" t="str">
        <f t="shared" si="201"/>
        <v>1</v>
      </c>
      <c r="AN178" s="360" t="str">
        <f t="shared" si="202"/>
        <v>1</v>
      </c>
      <c r="AO178" s="360"/>
      <c r="AP178" s="346" t="str">
        <f t="shared" si="203"/>
        <v>2</v>
      </c>
      <c r="AQ178" s="360" t="str">
        <f t="shared" si="204"/>
        <v>1.1..2</v>
      </c>
      <c r="AR178" s="530"/>
      <c r="AS178" s="362" t="s">
        <v>392</v>
      </c>
      <c r="AT178" s="367">
        <v>39389</v>
      </c>
      <c r="AU178" s="367">
        <v>13933</v>
      </c>
      <c r="AV178" s="368">
        <f>AU178/AT178</f>
        <v>0.35372819822793167</v>
      </c>
      <c r="AW178" s="367">
        <v>12906</v>
      </c>
      <c r="AX178" s="368">
        <f>AW178/AT178</f>
        <v>0.32765492904110283</v>
      </c>
      <c r="AY178" s="367">
        <v>26482</v>
      </c>
      <c r="AZ178" s="368">
        <f>AY178/AT178</f>
        <v>0.67231968316027313</v>
      </c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</row>
    <row r="179" spans="1:68" ht="20.25" customHeight="1">
      <c r="A179" s="100">
        <v>32</v>
      </c>
      <c r="B179" s="100" t="s">
        <v>46</v>
      </c>
      <c r="C179" s="100">
        <v>32</v>
      </c>
      <c r="D179" s="102" t="s">
        <v>2023</v>
      </c>
      <c r="E179" s="100" t="str">
        <f t="shared" si="0"/>
        <v>Sama</v>
      </c>
      <c r="F179" s="63"/>
      <c r="G179" s="342"/>
      <c r="H179" s="379"/>
      <c r="I179" s="379" t="s">
        <v>2023</v>
      </c>
      <c r="J179" s="380"/>
      <c r="K179" s="353">
        <f>COUNTIF(K180:K206,"D") + COUNTIF(K180:K206,"DS")</f>
        <v>22</v>
      </c>
      <c r="L179" s="383">
        <f>SUBTOTAL(9,L180:L206)</f>
        <v>745579.14999999991</v>
      </c>
      <c r="M179" s="342"/>
      <c r="N179" s="355"/>
      <c r="O179" s="356"/>
      <c r="P179" s="383">
        <f t="shared" ref="P179:Y179" si="212">SUBTOTAL(9,P180:P206)</f>
        <v>529316.35</v>
      </c>
      <c r="Q179" s="383">
        <f t="shared" si="212"/>
        <v>3000</v>
      </c>
      <c r="R179" s="383">
        <f t="shared" si="212"/>
        <v>532688.18999999994</v>
      </c>
      <c r="S179" s="383">
        <f t="shared" si="212"/>
        <v>532747.18999999994</v>
      </c>
      <c r="T179" s="383">
        <f t="shared" si="212"/>
        <v>0</v>
      </c>
      <c r="U179" s="406">
        <f t="shared" si="212"/>
        <v>0</v>
      </c>
      <c r="V179" s="383">
        <f t="shared" si="212"/>
        <v>271085.08999999997</v>
      </c>
      <c r="W179" s="383">
        <f t="shared" si="212"/>
        <v>1914</v>
      </c>
      <c r="X179" s="383">
        <f t="shared" si="212"/>
        <v>258300.09</v>
      </c>
      <c r="Y179" s="383">
        <f t="shared" si="212"/>
        <v>271085.08999999997</v>
      </c>
      <c r="Z179" s="354">
        <v>8</v>
      </c>
      <c r="AA179" s="351">
        <v>10</v>
      </c>
      <c r="AB179" s="337">
        <f t="shared" ref="AB179:AD179" si="213">SUM(AB180:AB206)</f>
        <v>462861.28</v>
      </c>
      <c r="AC179" s="337">
        <f t="shared" si="213"/>
        <v>17327.27</v>
      </c>
      <c r="AD179" s="337">
        <f t="shared" si="213"/>
        <v>190033.41</v>
      </c>
      <c r="AE179" s="383">
        <f>SUBTOTAL(9,AE180:AE206)</f>
        <v>471538.33999999997</v>
      </c>
      <c r="AF179" s="357" t="s">
        <v>1138</v>
      </c>
      <c r="AG179" s="358"/>
      <c r="AH179" s="359">
        <f>SUM(AH180:AH206)</f>
        <v>878632.76827922009</v>
      </c>
      <c r="AI179" s="360"/>
      <c r="AJ179" s="360"/>
      <c r="AK179" s="361">
        <f>COUNTIF(AK180:AK206,"V") + COUNTIF(AK180:AK206,"VV") + COUNTIF(AK180:AK206,"VVV")</f>
        <v>14</v>
      </c>
      <c r="AL179" s="18"/>
      <c r="AM179" s="360"/>
      <c r="AN179" s="360"/>
      <c r="AO179" s="360"/>
      <c r="AP179" s="346"/>
      <c r="AQ179" s="360"/>
      <c r="AR179" s="530"/>
      <c r="AS179" s="360"/>
      <c r="AT179" s="362"/>
      <c r="AU179" s="362"/>
      <c r="AV179" s="362"/>
      <c r="AW179" s="362"/>
      <c r="AX179" s="362"/>
      <c r="AY179" s="362"/>
      <c r="AZ179" s="362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</row>
    <row r="180" spans="1:68" ht="20.25" customHeight="1">
      <c r="A180" s="100">
        <v>32</v>
      </c>
      <c r="B180" s="100" t="s">
        <v>46</v>
      </c>
      <c r="C180" s="100" t="s">
        <v>2024</v>
      </c>
      <c r="D180" s="102" t="s">
        <v>400</v>
      </c>
      <c r="E180" s="100" t="str">
        <f t="shared" si="0"/>
        <v>Sama</v>
      </c>
      <c r="F180" s="63">
        <f t="shared" ref="F180:F206" si="214">SUBTOTAL(3,$G$7:G180)</f>
        <v>163</v>
      </c>
      <c r="G180" s="63">
        <v>1</v>
      </c>
      <c r="H180" s="62" t="s">
        <v>46</v>
      </c>
      <c r="I180" s="62" t="s">
        <v>400</v>
      </c>
      <c r="J180" s="66">
        <v>31158.227699080027</v>
      </c>
      <c r="K180" s="533" t="s">
        <v>104</v>
      </c>
      <c r="L180" s="68">
        <f t="shared" ref="L180:L183" si="215">IF(S180&gt;0,S180,IF(Y180&gt;0,Y180,IF(AE180&gt;0,AE180,0)))</f>
        <v>31046.46</v>
      </c>
      <c r="M180" s="63"/>
      <c r="N180" s="392">
        <f t="shared" ref="N180:N206" si="216">VALUE(RIGHT(O180,4))</f>
        <v>2016</v>
      </c>
      <c r="O180" s="531" t="s">
        <v>1345</v>
      </c>
      <c r="P180" s="68"/>
      <c r="Q180" s="68"/>
      <c r="R180" s="68"/>
      <c r="S180" s="68">
        <f t="shared" ref="S180:S206" si="217">IF(R180&gt;0,R180,IF(P180&gt;0,P180,0))</f>
        <v>0</v>
      </c>
      <c r="T180" s="63"/>
      <c r="U180" s="531" t="s">
        <v>1346</v>
      </c>
      <c r="V180" s="370">
        <v>31046.46</v>
      </c>
      <c r="W180" s="370">
        <v>0</v>
      </c>
      <c r="X180" s="370">
        <v>31046.46</v>
      </c>
      <c r="Y180" s="68">
        <f t="shared" ref="Y180:Y206" si="218">IF(X180&gt;0,X180,IF(V180&gt;0,V180,0))</f>
        <v>31046.46</v>
      </c>
      <c r="Z180" s="345"/>
      <c r="AA180" s="347"/>
      <c r="AB180" s="345"/>
      <c r="AC180" s="345"/>
      <c r="AD180" s="345"/>
      <c r="AE180" s="68">
        <f t="shared" ref="AE180:AE206" si="219">IF(AD180&gt;0,AD180,IF(AB180&gt;0,AB180,0))</f>
        <v>0</v>
      </c>
      <c r="AF180" s="366" t="s">
        <v>1347</v>
      </c>
      <c r="AG180" s="358"/>
      <c r="AH180" s="359">
        <v>30107.677042386327</v>
      </c>
      <c r="AI180" s="360"/>
      <c r="AJ180" s="360"/>
      <c r="AK180" s="360" t="str">
        <f t="shared" ref="AK180:AK206" si="220">CONCATENATE(M180,T180,Z180)</f>
        <v/>
      </c>
      <c r="AL180" s="18"/>
      <c r="AM180" s="360" t="str">
        <f t="shared" ref="AM180:AM206" si="221">IF(N180=0,"3",IF(N180&lt;=2018,"2","1"))</f>
        <v>2</v>
      </c>
      <c r="AN180" s="360" t="str">
        <f t="shared" ref="AN180:AN206" si="222">IF(S180&gt;0,"1","2")</f>
        <v>2</v>
      </c>
      <c r="AO180" s="360"/>
      <c r="AP180" s="346" t="str">
        <f t="shared" ref="AP180:AP206" si="223">IF(Y180&gt;0,"1",IF(AE180&gt;0,"1","2"))</f>
        <v>1</v>
      </c>
      <c r="AQ180" s="360" t="str">
        <f t="shared" ref="AQ180:AQ206" si="224">CONCATENATE(AM180,".",AN180,".",AO180,".",AP180)</f>
        <v>2.2..1</v>
      </c>
      <c r="AR180" s="530"/>
      <c r="AS180" s="360"/>
      <c r="AT180" s="362"/>
      <c r="AU180" s="362"/>
      <c r="AV180" s="362"/>
      <c r="AW180" s="362"/>
      <c r="AX180" s="362"/>
      <c r="AY180" s="362"/>
      <c r="AZ180" s="362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</row>
    <row r="181" spans="1:68" ht="20.25" customHeight="1">
      <c r="A181" s="100">
        <v>32</v>
      </c>
      <c r="B181" s="100" t="s">
        <v>46</v>
      </c>
      <c r="C181" s="100" t="s">
        <v>2025</v>
      </c>
      <c r="D181" s="102" t="s">
        <v>402</v>
      </c>
      <c r="E181" s="100" t="str">
        <f t="shared" si="0"/>
        <v>Sama</v>
      </c>
      <c r="F181" s="63">
        <f t="shared" si="214"/>
        <v>164</v>
      </c>
      <c r="G181" s="63">
        <v>2</v>
      </c>
      <c r="H181" s="62" t="s">
        <v>46</v>
      </c>
      <c r="I181" s="62" t="s">
        <v>402</v>
      </c>
      <c r="J181" s="66">
        <v>16767.182243187985</v>
      </c>
      <c r="K181" s="533" t="s">
        <v>104</v>
      </c>
      <c r="L181" s="68">
        <f t="shared" si="215"/>
        <v>1026</v>
      </c>
      <c r="M181" s="63"/>
      <c r="N181" s="365">
        <f t="shared" si="216"/>
        <v>2012</v>
      </c>
      <c r="O181" s="531" t="s">
        <v>588</v>
      </c>
      <c r="P181" s="68">
        <v>1026</v>
      </c>
      <c r="Q181" s="68">
        <v>0</v>
      </c>
      <c r="R181" s="68">
        <v>1026</v>
      </c>
      <c r="S181" s="68">
        <f t="shared" si="217"/>
        <v>1026</v>
      </c>
      <c r="T181" s="63"/>
      <c r="U181" s="541" t="s">
        <v>256</v>
      </c>
      <c r="V181" s="370">
        <v>0</v>
      </c>
      <c r="W181" s="370">
        <v>0</v>
      </c>
      <c r="X181" s="370">
        <v>0</v>
      </c>
      <c r="Y181" s="68">
        <f t="shared" si="218"/>
        <v>0</v>
      </c>
      <c r="Z181" s="345"/>
      <c r="AA181" s="385"/>
      <c r="AB181" s="345"/>
      <c r="AC181" s="345"/>
      <c r="AD181" s="345"/>
      <c r="AE181" s="68">
        <f t="shared" si="219"/>
        <v>0</v>
      </c>
      <c r="AF181" s="366" t="s">
        <v>1129</v>
      </c>
      <c r="AG181" s="358" t="s">
        <v>1160</v>
      </c>
      <c r="AH181" s="359">
        <v>16750.929085359232</v>
      </c>
      <c r="AI181" s="360"/>
      <c r="AJ181" s="360"/>
      <c r="AK181" s="360" t="str">
        <f t="shared" si="220"/>
        <v/>
      </c>
      <c r="AL181" s="18"/>
      <c r="AM181" s="360" t="str">
        <f t="shared" si="221"/>
        <v>2</v>
      </c>
      <c r="AN181" s="360" t="str">
        <f t="shared" si="222"/>
        <v>1</v>
      </c>
      <c r="AO181" s="360"/>
      <c r="AP181" s="346" t="str">
        <f t="shared" si="223"/>
        <v>2</v>
      </c>
      <c r="AQ181" s="360" t="str">
        <f t="shared" si="224"/>
        <v>2.1..2</v>
      </c>
      <c r="AR181" s="530"/>
      <c r="AS181" s="360"/>
      <c r="AT181" s="362"/>
      <c r="AU181" s="362"/>
      <c r="AV181" s="362"/>
      <c r="AW181" s="362"/>
      <c r="AX181" s="362"/>
      <c r="AY181" s="362"/>
      <c r="AZ181" s="362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</row>
    <row r="182" spans="1:68" ht="20.25" customHeight="1">
      <c r="A182" s="100">
        <v>32</v>
      </c>
      <c r="B182" s="100" t="s">
        <v>46</v>
      </c>
      <c r="C182" s="100" t="s">
        <v>2026</v>
      </c>
      <c r="D182" s="102" t="s">
        <v>404</v>
      </c>
      <c r="E182" s="100" t="str">
        <f t="shared" si="0"/>
        <v>Sama</v>
      </c>
      <c r="F182" s="63">
        <f t="shared" si="214"/>
        <v>165</v>
      </c>
      <c r="G182" s="63">
        <v>3</v>
      </c>
      <c r="H182" s="62" t="s">
        <v>46</v>
      </c>
      <c r="I182" s="62" t="s">
        <v>404</v>
      </c>
      <c r="J182" s="66">
        <v>57510.76511166901</v>
      </c>
      <c r="K182" s="533" t="s">
        <v>104</v>
      </c>
      <c r="L182" s="68">
        <f t="shared" si="215"/>
        <v>35244</v>
      </c>
      <c r="M182" s="63"/>
      <c r="N182" s="365">
        <f t="shared" si="216"/>
        <v>2011</v>
      </c>
      <c r="O182" s="531" t="s">
        <v>405</v>
      </c>
      <c r="P182" s="68">
        <v>35244</v>
      </c>
      <c r="Q182" s="68">
        <v>0</v>
      </c>
      <c r="R182" s="68">
        <v>35244</v>
      </c>
      <c r="S182" s="68">
        <f t="shared" si="217"/>
        <v>35244</v>
      </c>
      <c r="T182" s="63"/>
      <c r="U182" s="347"/>
      <c r="V182" s="370"/>
      <c r="W182" s="370"/>
      <c r="X182" s="370"/>
      <c r="Y182" s="68">
        <f t="shared" si="218"/>
        <v>0</v>
      </c>
      <c r="Z182" s="345"/>
      <c r="AA182" s="347"/>
      <c r="AB182" s="345"/>
      <c r="AC182" s="345"/>
      <c r="AD182" s="345"/>
      <c r="AE182" s="68">
        <f t="shared" si="219"/>
        <v>0</v>
      </c>
      <c r="AF182" s="366">
        <v>2021</v>
      </c>
      <c r="AG182" s="358"/>
      <c r="AH182" s="359">
        <v>39183.292876251922</v>
      </c>
      <c r="AI182" s="360"/>
      <c r="AJ182" s="360"/>
      <c r="AK182" s="360" t="str">
        <f t="shared" si="220"/>
        <v/>
      </c>
      <c r="AL182" s="18"/>
      <c r="AM182" s="360" t="str">
        <f t="shared" si="221"/>
        <v>2</v>
      </c>
      <c r="AN182" s="360" t="str">
        <f t="shared" si="222"/>
        <v>1</v>
      </c>
      <c r="AO182" s="360"/>
      <c r="AP182" s="346" t="str">
        <f t="shared" si="223"/>
        <v>2</v>
      </c>
      <c r="AQ182" s="360" t="str">
        <f t="shared" si="224"/>
        <v>2.1..2</v>
      </c>
      <c r="AR182" s="530"/>
      <c r="AS182" s="360"/>
      <c r="AT182" s="362"/>
      <c r="AU182" s="362"/>
      <c r="AV182" s="362"/>
      <c r="AW182" s="362"/>
      <c r="AX182" s="362"/>
      <c r="AY182" s="362"/>
      <c r="AZ182" s="362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</row>
    <row r="183" spans="1:68" ht="20.25" customHeight="1">
      <c r="A183" s="100">
        <v>32</v>
      </c>
      <c r="B183" s="100" t="s">
        <v>46</v>
      </c>
      <c r="C183" s="100" t="s">
        <v>2027</v>
      </c>
      <c r="D183" s="102" t="s">
        <v>406</v>
      </c>
      <c r="E183" s="100" t="str">
        <f t="shared" si="0"/>
        <v>Sama</v>
      </c>
      <c r="F183" s="63">
        <f t="shared" si="214"/>
        <v>166</v>
      </c>
      <c r="G183" s="63">
        <v>4</v>
      </c>
      <c r="H183" s="62" t="s">
        <v>46</v>
      </c>
      <c r="I183" s="62" t="s">
        <v>406</v>
      </c>
      <c r="J183" s="66">
        <v>46141.358702081998</v>
      </c>
      <c r="K183" s="533" t="s">
        <v>104</v>
      </c>
      <c r="L183" s="68">
        <f t="shared" si="215"/>
        <v>46500</v>
      </c>
      <c r="M183" s="63"/>
      <c r="N183" s="392">
        <f t="shared" si="216"/>
        <v>2016</v>
      </c>
      <c r="O183" s="531" t="s">
        <v>1351</v>
      </c>
      <c r="P183" s="68"/>
      <c r="Q183" s="68"/>
      <c r="R183" s="68"/>
      <c r="S183" s="68">
        <f t="shared" si="217"/>
        <v>0</v>
      </c>
      <c r="T183" s="63"/>
      <c r="U183" s="347" t="s">
        <v>256</v>
      </c>
      <c r="V183" s="370">
        <v>46500</v>
      </c>
      <c r="W183" s="370">
        <v>0</v>
      </c>
      <c r="X183" s="370">
        <v>46500</v>
      </c>
      <c r="Y183" s="68">
        <f t="shared" si="218"/>
        <v>46500</v>
      </c>
      <c r="Z183" s="345"/>
      <c r="AA183" s="347"/>
      <c r="AB183" s="345"/>
      <c r="AC183" s="345"/>
      <c r="AD183" s="345"/>
      <c r="AE183" s="68">
        <f t="shared" si="219"/>
        <v>0</v>
      </c>
      <c r="AF183" s="366" t="s">
        <v>1097</v>
      </c>
      <c r="AG183" s="358"/>
      <c r="AH183" s="359">
        <v>38130.305316556944</v>
      </c>
      <c r="AI183" s="360"/>
      <c r="AJ183" s="360"/>
      <c r="AK183" s="360" t="str">
        <f t="shared" si="220"/>
        <v/>
      </c>
      <c r="AL183" s="18"/>
      <c r="AM183" s="360" t="str">
        <f t="shared" si="221"/>
        <v>2</v>
      </c>
      <c r="AN183" s="360" t="str">
        <f t="shared" si="222"/>
        <v>2</v>
      </c>
      <c r="AO183" s="360"/>
      <c r="AP183" s="346" t="str">
        <f t="shared" si="223"/>
        <v>1</v>
      </c>
      <c r="AQ183" s="360" t="str">
        <f t="shared" si="224"/>
        <v>2.2..1</v>
      </c>
      <c r="AR183" s="530"/>
      <c r="AS183" s="360"/>
      <c r="AT183" s="362"/>
      <c r="AU183" s="362"/>
      <c r="AV183" s="362"/>
      <c r="AW183" s="362"/>
      <c r="AX183" s="362"/>
      <c r="AY183" s="362"/>
      <c r="AZ183" s="362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</row>
    <row r="184" spans="1:68" ht="20.25" customHeight="1">
      <c r="A184" s="100">
        <v>32</v>
      </c>
      <c r="B184" s="100" t="s">
        <v>46</v>
      </c>
      <c r="C184" s="100" t="s">
        <v>2028</v>
      </c>
      <c r="D184" s="102" t="s">
        <v>407</v>
      </c>
      <c r="E184" s="100" t="str">
        <f t="shared" si="0"/>
        <v>Sama</v>
      </c>
      <c r="F184" s="63">
        <f t="shared" si="214"/>
        <v>167</v>
      </c>
      <c r="G184" s="63">
        <v>5</v>
      </c>
      <c r="H184" s="62" t="s">
        <v>46</v>
      </c>
      <c r="I184" s="62" t="s">
        <v>407</v>
      </c>
      <c r="J184" s="66">
        <v>31300.381601643003</v>
      </c>
      <c r="K184" s="533" t="s">
        <v>91</v>
      </c>
      <c r="L184" s="68">
        <f>AE184</f>
        <v>33071.949999999997</v>
      </c>
      <c r="M184" s="63"/>
      <c r="N184" s="365">
        <f t="shared" si="216"/>
        <v>2012</v>
      </c>
      <c r="O184" s="531" t="s">
        <v>1256</v>
      </c>
      <c r="P184" s="68">
        <v>17815</v>
      </c>
      <c r="Q184" s="68">
        <v>0</v>
      </c>
      <c r="R184" s="68">
        <v>17815</v>
      </c>
      <c r="S184" s="68">
        <f t="shared" si="217"/>
        <v>17815</v>
      </c>
      <c r="T184" s="63"/>
      <c r="U184" s="541" t="s">
        <v>321</v>
      </c>
      <c r="V184" s="370">
        <v>17815</v>
      </c>
      <c r="W184" s="370">
        <v>0</v>
      </c>
      <c r="X184" s="370">
        <v>17815</v>
      </c>
      <c r="Y184" s="68">
        <f t="shared" si="218"/>
        <v>17815</v>
      </c>
      <c r="Z184" s="345" t="s">
        <v>1076</v>
      </c>
      <c r="AA184" s="407" t="s">
        <v>408</v>
      </c>
      <c r="AB184" s="403">
        <v>27962.19</v>
      </c>
      <c r="AC184" s="404">
        <v>5109.76</v>
      </c>
      <c r="AD184" s="403">
        <f>SUM(AB184:AC184)</f>
        <v>33071.949999999997</v>
      </c>
      <c r="AE184" s="68">
        <f t="shared" si="219"/>
        <v>33071.949999999997</v>
      </c>
      <c r="AF184" s="364">
        <v>2021</v>
      </c>
      <c r="AG184" s="344"/>
      <c r="AH184" s="84">
        <v>31130.833587438119</v>
      </c>
      <c r="AI184" s="63"/>
      <c r="AJ184" s="63"/>
      <c r="AK184" s="63" t="str">
        <f t="shared" si="220"/>
        <v>V</v>
      </c>
      <c r="AL184" s="47"/>
      <c r="AM184" s="63" t="str">
        <f t="shared" si="221"/>
        <v>2</v>
      </c>
      <c r="AN184" s="63" t="str">
        <f t="shared" si="222"/>
        <v>1</v>
      </c>
      <c r="AO184" s="63"/>
      <c r="AP184" s="346" t="str">
        <f t="shared" si="223"/>
        <v>1</v>
      </c>
      <c r="AQ184" s="63" t="str">
        <f t="shared" si="224"/>
        <v>2.1..1</v>
      </c>
      <c r="AR184" s="534"/>
      <c r="AS184" s="64" t="s">
        <v>2029</v>
      </c>
      <c r="AT184" s="95">
        <v>31300.38</v>
      </c>
      <c r="AU184" s="95">
        <v>33071.949999999997</v>
      </c>
      <c r="AV184" s="371">
        <f t="shared" ref="AV184:AV189" si="225">AU184/AT184</f>
        <v>1.0565989933668536</v>
      </c>
      <c r="AW184" s="95">
        <v>25952</v>
      </c>
      <c r="AX184" s="371"/>
      <c r="AY184" s="95">
        <v>5348</v>
      </c>
      <c r="AZ184" s="371"/>
      <c r="BA184" s="47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</row>
    <row r="185" spans="1:68" ht="20.25" customHeight="1">
      <c r="A185" s="100">
        <v>32</v>
      </c>
      <c r="B185" s="100" t="s">
        <v>46</v>
      </c>
      <c r="C185" s="100" t="s">
        <v>2030</v>
      </c>
      <c r="D185" s="102" t="s">
        <v>409</v>
      </c>
      <c r="E185" s="100" t="str">
        <f t="shared" si="0"/>
        <v>Sama</v>
      </c>
      <c r="F185" s="63">
        <f t="shared" si="214"/>
        <v>168</v>
      </c>
      <c r="G185" s="63">
        <v>6</v>
      </c>
      <c r="H185" s="62" t="s">
        <v>46</v>
      </c>
      <c r="I185" s="62" t="s">
        <v>409</v>
      </c>
      <c r="J185" s="66">
        <v>67510.813003902484</v>
      </c>
      <c r="K185" s="533" t="s">
        <v>91</v>
      </c>
      <c r="L185" s="68">
        <f>IF(S185&gt;0,S185,IF(Y185&gt;0,Y185,IF(AE185&gt;0,AE185,0)))</f>
        <v>53615.47</v>
      </c>
      <c r="M185" s="63"/>
      <c r="N185" s="392">
        <f t="shared" si="216"/>
        <v>2012</v>
      </c>
      <c r="O185" s="531" t="s">
        <v>1354</v>
      </c>
      <c r="P185" s="68"/>
      <c r="Q185" s="68"/>
      <c r="R185" s="68"/>
      <c r="S185" s="68">
        <f t="shared" si="217"/>
        <v>0</v>
      </c>
      <c r="T185" s="63"/>
      <c r="U185" s="531" t="s">
        <v>1355</v>
      </c>
      <c r="V185" s="370">
        <v>0</v>
      </c>
      <c r="W185" s="370">
        <v>0</v>
      </c>
      <c r="X185" s="370">
        <v>0</v>
      </c>
      <c r="Y185" s="68">
        <f t="shared" si="218"/>
        <v>0</v>
      </c>
      <c r="Z185" s="345" t="s">
        <v>1076</v>
      </c>
      <c r="AA185" s="542" t="s">
        <v>410</v>
      </c>
      <c r="AB185" s="403">
        <v>53615.47</v>
      </c>
      <c r="AC185" s="403"/>
      <c r="AD185" s="403">
        <v>53615.47</v>
      </c>
      <c r="AE185" s="68">
        <f t="shared" si="219"/>
        <v>53615.47</v>
      </c>
      <c r="AF185" s="364">
        <v>2021</v>
      </c>
      <c r="AG185" s="344"/>
      <c r="AH185" s="84">
        <v>61483.021588675649</v>
      </c>
      <c r="AI185" s="63"/>
      <c r="AJ185" s="63"/>
      <c r="AK185" s="63" t="str">
        <f t="shared" si="220"/>
        <v>V</v>
      </c>
      <c r="AL185" s="47"/>
      <c r="AM185" s="63" t="str">
        <f t="shared" si="221"/>
        <v>2</v>
      </c>
      <c r="AN185" s="63" t="str">
        <f t="shared" si="222"/>
        <v>2</v>
      </c>
      <c r="AO185" s="63"/>
      <c r="AP185" s="346" t="str">
        <f t="shared" si="223"/>
        <v>1</v>
      </c>
      <c r="AQ185" s="63" t="str">
        <f t="shared" si="224"/>
        <v>2.2..1</v>
      </c>
      <c r="AR185" s="534"/>
      <c r="AS185" s="64" t="s">
        <v>2031</v>
      </c>
      <c r="AT185" s="95">
        <v>67510.81</v>
      </c>
      <c r="AU185" s="95">
        <v>53615.47</v>
      </c>
      <c r="AV185" s="371">
        <f t="shared" si="225"/>
        <v>0.79417607343179564</v>
      </c>
      <c r="AW185" s="95">
        <v>45577</v>
      </c>
      <c r="AX185" s="371"/>
      <c r="AY185" s="95">
        <v>21933</v>
      </c>
      <c r="AZ185" s="371"/>
      <c r="BA185" s="47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</row>
    <row r="186" spans="1:68" ht="20.25" customHeight="1">
      <c r="A186" s="100">
        <v>32</v>
      </c>
      <c r="B186" s="100" t="s">
        <v>46</v>
      </c>
      <c r="C186" s="100" t="s">
        <v>2032</v>
      </c>
      <c r="D186" s="102" t="s">
        <v>411</v>
      </c>
      <c r="E186" s="100" t="str">
        <f t="shared" si="0"/>
        <v>Sama</v>
      </c>
      <c r="F186" s="63">
        <f t="shared" si="214"/>
        <v>169</v>
      </c>
      <c r="G186" s="63">
        <v>7</v>
      </c>
      <c r="H186" s="62" t="s">
        <v>46</v>
      </c>
      <c r="I186" s="62" t="s">
        <v>411</v>
      </c>
      <c r="J186" s="66">
        <v>53396.24363379123</v>
      </c>
      <c r="K186" s="533" t="s">
        <v>91</v>
      </c>
      <c r="L186" s="68">
        <f>AE186</f>
        <v>40000</v>
      </c>
      <c r="M186" s="63"/>
      <c r="N186" s="365">
        <f t="shared" si="216"/>
        <v>2018</v>
      </c>
      <c r="O186" s="531" t="s">
        <v>412</v>
      </c>
      <c r="P186" s="68">
        <v>40000</v>
      </c>
      <c r="Q186" s="68">
        <v>3000</v>
      </c>
      <c r="R186" s="68">
        <v>43000</v>
      </c>
      <c r="S186" s="68">
        <f t="shared" si="217"/>
        <v>43000</v>
      </c>
      <c r="T186" s="63"/>
      <c r="U186" s="408" t="s">
        <v>187</v>
      </c>
      <c r="V186" s="370"/>
      <c r="W186" s="370"/>
      <c r="X186" s="370"/>
      <c r="Y186" s="68">
        <f t="shared" si="218"/>
        <v>0</v>
      </c>
      <c r="Z186" s="345" t="s">
        <v>1076</v>
      </c>
      <c r="AA186" s="543" t="s">
        <v>1357</v>
      </c>
      <c r="AB186" s="403">
        <v>40000</v>
      </c>
      <c r="AC186" s="403">
        <v>0</v>
      </c>
      <c r="AD186" s="403">
        <v>40000</v>
      </c>
      <c r="AE186" s="68">
        <f t="shared" si="219"/>
        <v>40000</v>
      </c>
      <c r="AF186" s="364">
        <v>2023</v>
      </c>
      <c r="AG186" s="344" t="s">
        <v>1160</v>
      </c>
      <c r="AH186" s="84">
        <v>52236.435840853774</v>
      </c>
      <c r="AI186" s="63"/>
      <c r="AJ186" s="63"/>
      <c r="AK186" s="63" t="str">
        <f t="shared" si="220"/>
        <v>V</v>
      </c>
      <c r="AL186" s="47"/>
      <c r="AM186" s="63" t="str">
        <f t="shared" si="221"/>
        <v>2</v>
      </c>
      <c r="AN186" s="63" t="str">
        <f t="shared" si="222"/>
        <v>1</v>
      </c>
      <c r="AO186" s="63"/>
      <c r="AP186" s="346" t="str">
        <f t="shared" si="223"/>
        <v>1</v>
      </c>
      <c r="AQ186" s="63" t="str">
        <f t="shared" si="224"/>
        <v>2.1..1</v>
      </c>
      <c r="AR186" s="534"/>
      <c r="AS186" s="538" t="str">
        <f>O186</f>
        <v>Perda No. 7 Tahun 2018</v>
      </c>
      <c r="AT186" s="95">
        <f>J186</f>
        <v>53396.24363379123</v>
      </c>
      <c r="AU186" s="95">
        <f>P186</f>
        <v>40000</v>
      </c>
      <c r="AV186" s="371">
        <f t="shared" si="225"/>
        <v>0.74911636620607591</v>
      </c>
      <c r="AW186" s="95">
        <v>34154.999200999999</v>
      </c>
      <c r="AX186" s="371">
        <f t="shared" ref="AX186:AX189" si="226">AW186/AT186</f>
        <v>0.63965172223061362</v>
      </c>
      <c r="AY186" s="95">
        <f>AT186-AW186</f>
        <v>19241.244432791231</v>
      </c>
      <c r="AZ186" s="371">
        <f t="shared" ref="AZ186:AZ189" si="227">AY186/AT186</f>
        <v>0.36034827776938638</v>
      </c>
      <c r="BA186" s="47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</row>
    <row r="187" spans="1:68" ht="20.25" customHeight="1">
      <c r="A187" s="100">
        <v>32</v>
      </c>
      <c r="B187" s="100" t="s">
        <v>46</v>
      </c>
      <c r="C187" s="100" t="s">
        <v>2033</v>
      </c>
      <c r="D187" s="102" t="s">
        <v>413</v>
      </c>
      <c r="E187" s="100" t="str">
        <f t="shared" si="0"/>
        <v>Sama</v>
      </c>
      <c r="F187" s="63">
        <f t="shared" si="214"/>
        <v>170</v>
      </c>
      <c r="G187" s="63">
        <v>8</v>
      </c>
      <c r="H187" s="62" t="s">
        <v>46</v>
      </c>
      <c r="I187" s="62" t="s">
        <v>413</v>
      </c>
      <c r="J187" s="66">
        <v>42718.659462992306</v>
      </c>
      <c r="K187" s="533" t="s">
        <v>91</v>
      </c>
      <c r="L187" s="68">
        <f>IF(S187&gt;0,S187,IF(Y187&gt;0,Y187,IF(AE187&gt;0,AE187,0)))</f>
        <v>44028</v>
      </c>
      <c r="M187" s="544" t="s">
        <v>1076</v>
      </c>
      <c r="N187" s="365">
        <f t="shared" si="216"/>
        <v>2019</v>
      </c>
      <c r="O187" s="531" t="s">
        <v>311</v>
      </c>
      <c r="P187" s="370">
        <v>44028</v>
      </c>
      <c r="Q187" s="370">
        <v>0</v>
      </c>
      <c r="R187" s="370">
        <v>44028</v>
      </c>
      <c r="S187" s="68">
        <f t="shared" si="217"/>
        <v>44028</v>
      </c>
      <c r="T187" s="63"/>
      <c r="U187" s="541" t="s">
        <v>926</v>
      </c>
      <c r="V187" s="370">
        <v>1437</v>
      </c>
      <c r="W187" s="370">
        <v>0</v>
      </c>
      <c r="X187" s="370">
        <v>1437</v>
      </c>
      <c r="Y187" s="68">
        <f t="shared" si="218"/>
        <v>1437</v>
      </c>
      <c r="Z187" s="345"/>
      <c r="AA187" s="409"/>
      <c r="AB187" s="403"/>
      <c r="AC187" s="403"/>
      <c r="AD187" s="403"/>
      <c r="AE187" s="68">
        <f t="shared" si="219"/>
        <v>0</v>
      </c>
      <c r="AF187" s="366">
        <v>2020</v>
      </c>
      <c r="AG187" s="358"/>
      <c r="AH187" s="359">
        <v>44458.37328291039</v>
      </c>
      <c r="AI187" s="360"/>
      <c r="AJ187" s="360"/>
      <c r="AK187" s="360" t="str">
        <f t="shared" si="220"/>
        <v>V</v>
      </c>
      <c r="AL187" s="18"/>
      <c r="AM187" s="360" t="str">
        <f t="shared" si="221"/>
        <v>1</v>
      </c>
      <c r="AN187" s="360" t="str">
        <f t="shared" si="222"/>
        <v>1</v>
      </c>
      <c r="AO187" s="360"/>
      <c r="AP187" s="346" t="str">
        <f t="shared" si="223"/>
        <v>1</v>
      </c>
      <c r="AQ187" s="360" t="str">
        <f t="shared" si="224"/>
        <v>1.1..1</v>
      </c>
      <c r="AR187" s="530"/>
      <c r="AS187" s="362" t="s">
        <v>311</v>
      </c>
      <c r="AT187" s="367">
        <v>42719</v>
      </c>
      <c r="AU187" s="367">
        <v>43959</v>
      </c>
      <c r="AV187" s="368">
        <f t="shared" si="225"/>
        <v>1.02902689669702</v>
      </c>
      <c r="AW187" s="367">
        <v>29615</v>
      </c>
      <c r="AX187" s="368">
        <f t="shared" si="226"/>
        <v>0.69325124651794279</v>
      </c>
      <c r="AY187" s="367">
        <v>13104</v>
      </c>
      <c r="AZ187" s="368">
        <f t="shared" si="227"/>
        <v>0.30674875348205716</v>
      </c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</row>
    <row r="188" spans="1:68" ht="20.25" customHeight="1">
      <c r="A188" s="100">
        <v>32</v>
      </c>
      <c r="B188" s="100" t="s">
        <v>46</v>
      </c>
      <c r="C188" s="100" t="s">
        <v>2034</v>
      </c>
      <c r="D188" s="102" t="s">
        <v>414</v>
      </c>
      <c r="E188" s="100" t="str">
        <f t="shared" si="0"/>
        <v>Sama</v>
      </c>
      <c r="F188" s="63">
        <f t="shared" si="214"/>
        <v>171</v>
      </c>
      <c r="G188" s="63">
        <v>9</v>
      </c>
      <c r="H188" s="62" t="s">
        <v>46</v>
      </c>
      <c r="I188" s="62" t="s">
        <v>414</v>
      </c>
      <c r="J188" s="66">
        <v>122920.09722636723</v>
      </c>
      <c r="K188" s="533" t="s">
        <v>91</v>
      </c>
      <c r="L188" s="68">
        <f>AE188</f>
        <v>84684</v>
      </c>
      <c r="M188" s="63"/>
      <c r="N188" s="392">
        <f t="shared" si="216"/>
        <v>2012</v>
      </c>
      <c r="O188" s="531" t="s">
        <v>315</v>
      </c>
      <c r="P188" s="68">
        <v>92370</v>
      </c>
      <c r="Q188" s="68">
        <v>0</v>
      </c>
      <c r="R188" s="68">
        <v>92370</v>
      </c>
      <c r="S188" s="68">
        <f t="shared" si="217"/>
        <v>92370</v>
      </c>
      <c r="T188" s="63"/>
      <c r="U188" s="385" t="s">
        <v>913</v>
      </c>
      <c r="V188" s="370">
        <v>0</v>
      </c>
      <c r="W188" s="370">
        <v>0</v>
      </c>
      <c r="X188" s="370">
        <v>0</v>
      </c>
      <c r="Y188" s="68">
        <f t="shared" si="218"/>
        <v>0</v>
      </c>
      <c r="Z188" s="345" t="s">
        <v>1076</v>
      </c>
      <c r="AA188" s="545" t="s">
        <v>415</v>
      </c>
      <c r="AB188" s="403">
        <v>84684</v>
      </c>
      <c r="AC188" s="403"/>
      <c r="AD188" s="403"/>
      <c r="AE188" s="68">
        <f t="shared" si="219"/>
        <v>84684</v>
      </c>
      <c r="AF188" s="364">
        <v>2022</v>
      </c>
      <c r="AG188" s="344"/>
      <c r="AH188" s="84">
        <v>124162.68927350866</v>
      </c>
      <c r="AI188" s="63"/>
      <c r="AJ188" s="63"/>
      <c r="AK188" s="63" t="str">
        <f t="shared" si="220"/>
        <v>V</v>
      </c>
      <c r="AL188" s="47"/>
      <c r="AM188" s="63" t="str">
        <f t="shared" si="221"/>
        <v>2</v>
      </c>
      <c r="AN188" s="63" t="str">
        <f t="shared" si="222"/>
        <v>1</v>
      </c>
      <c r="AO188" s="63"/>
      <c r="AP188" s="346" t="str">
        <f t="shared" si="223"/>
        <v>1</v>
      </c>
      <c r="AQ188" s="63" t="str">
        <f t="shared" si="224"/>
        <v>2.1..1</v>
      </c>
      <c r="AR188" s="534"/>
      <c r="AS188" s="64" t="s">
        <v>2035</v>
      </c>
      <c r="AT188" s="95">
        <v>122920.09</v>
      </c>
      <c r="AU188" s="95">
        <v>84684</v>
      </c>
      <c r="AV188" s="371">
        <f t="shared" si="225"/>
        <v>0.68893538883676375</v>
      </c>
      <c r="AW188" s="95">
        <v>84025.52</v>
      </c>
      <c r="AX188" s="371">
        <f t="shared" si="226"/>
        <v>0.68357841260936281</v>
      </c>
      <c r="AY188" s="95">
        <v>38894.57</v>
      </c>
      <c r="AZ188" s="371">
        <f t="shared" si="227"/>
        <v>0.3164215873906373</v>
      </c>
      <c r="BA188" s="47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</row>
    <row r="189" spans="1:68" ht="20.25" customHeight="1">
      <c r="A189" s="100">
        <v>32</v>
      </c>
      <c r="B189" s="100" t="s">
        <v>46</v>
      </c>
      <c r="C189" s="100" t="s">
        <v>2036</v>
      </c>
      <c r="D189" s="102" t="s">
        <v>416</v>
      </c>
      <c r="E189" s="100" t="str">
        <f t="shared" si="0"/>
        <v>Sama</v>
      </c>
      <c r="F189" s="63">
        <f t="shared" si="214"/>
        <v>172</v>
      </c>
      <c r="G189" s="63">
        <v>10</v>
      </c>
      <c r="H189" s="62" t="s">
        <v>46</v>
      </c>
      <c r="I189" s="62" t="s">
        <v>416</v>
      </c>
      <c r="J189" s="66">
        <v>101961.77500078136</v>
      </c>
      <c r="K189" s="533" t="s">
        <v>91</v>
      </c>
      <c r="L189" s="68">
        <f t="shared" ref="L189:L195" si="228">IF(S189&gt;0,S189,IF(Y189&gt;0,Y189,IF(AE189&gt;0,AE189,0)))</f>
        <v>85339</v>
      </c>
      <c r="M189" s="63"/>
      <c r="N189" s="392">
        <f t="shared" si="216"/>
        <v>2013</v>
      </c>
      <c r="O189" s="531" t="s">
        <v>167</v>
      </c>
      <c r="P189" s="68"/>
      <c r="Q189" s="68"/>
      <c r="R189" s="68"/>
      <c r="S189" s="68">
        <f t="shared" si="217"/>
        <v>0</v>
      </c>
      <c r="T189" s="63"/>
      <c r="U189" s="347" t="s">
        <v>151</v>
      </c>
      <c r="V189" s="370">
        <v>85339</v>
      </c>
      <c r="W189" s="410">
        <v>1914</v>
      </c>
      <c r="X189" s="370">
        <v>85339</v>
      </c>
      <c r="Y189" s="68">
        <f t="shared" si="218"/>
        <v>85339</v>
      </c>
      <c r="Z189" s="345" t="s">
        <v>1076</v>
      </c>
      <c r="AA189" s="545" t="s">
        <v>417</v>
      </c>
      <c r="AB189" s="403">
        <v>85339</v>
      </c>
      <c r="AC189" s="403">
        <v>1914.1</v>
      </c>
      <c r="AD189" s="403"/>
      <c r="AE189" s="68">
        <f t="shared" si="219"/>
        <v>85339</v>
      </c>
      <c r="AF189" s="364">
        <v>2022</v>
      </c>
      <c r="AG189" s="344"/>
      <c r="AH189" s="84">
        <v>95667.449490817191</v>
      </c>
      <c r="AI189" s="63"/>
      <c r="AJ189" s="63"/>
      <c r="AK189" s="63" t="str">
        <f t="shared" si="220"/>
        <v>V</v>
      </c>
      <c r="AL189" s="47"/>
      <c r="AM189" s="63" t="str">
        <f t="shared" si="221"/>
        <v>2</v>
      </c>
      <c r="AN189" s="63" t="str">
        <f t="shared" si="222"/>
        <v>2</v>
      </c>
      <c r="AO189" s="63"/>
      <c r="AP189" s="346" t="str">
        <f t="shared" si="223"/>
        <v>1</v>
      </c>
      <c r="AQ189" s="63" t="str">
        <f t="shared" si="224"/>
        <v>2.2..1</v>
      </c>
      <c r="AR189" s="534"/>
      <c r="AS189" s="64" t="s">
        <v>417</v>
      </c>
      <c r="AT189" s="95">
        <v>101961.77</v>
      </c>
      <c r="AU189" s="95">
        <v>87253.1</v>
      </c>
      <c r="AV189" s="371">
        <f t="shared" si="225"/>
        <v>0.85574328495866636</v>
      </c>
      <c r="AW189" s="95">
        <v>86708.9</v>
      </c>
      <c r="AX189" s="371">
        <f t="shared" si="226"/>
        <v>0.85040599040208886</v>
      </c>
      <c r="AY189" s="95">
        <v>15252.87</v>
      </c>
      <c r="AZ189" s="371">
        <f t="shared" si="227"/>
        <v>0.14959400959791105</v>
      </c>
      <c r="BA189" s="47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</row>
    <row r="190" spans="1:68" ht="20.25" customHeight="1">
      <c r="A190" s="100">
        <v>32</v>
      </c>
      <c r="B190" s="100" t="s">
        <v>46</v>
      </c>
      <c r="C190" s="100" t="s">
        <v>2037</v>
      </c>
      <c r="D190" s="102" t="s">
        <v>418</v>
      </c>
      <c r="E190" s="100" t="str">
        <f t="shared" si="0"/>
        <v>Sama</v>
      </c>
      <c r="F190" s="63">
        <f t="shared" si="214"/>
        <v>173</v>
      </c>
      <c r="G190" s="63">
        <v>11</v>
      </c>
      <c r="H190" s="62" t="s">
        <v>46</v>
      </c>
      <c r="I190" s="62" t="s">
        <v>418</v>
      </c>
      <c r="J190" s="66">
        <v>1009.3719792299997</v>
      </c>
      <c r="K190" s="533" t="s">
        <v>123</v>
      </c>
      <c r="L190" s="68">
        <f t="shared" si="228"/>
        <v>0</v>
      </c>
      <c r="M190" s="63"/>
      <c r="N190" s="392">
        <f t="shared" si="216"/>
        <v>2011</v>
      </c>
      <c r="O190" s="531" t="s">
        <v>1362</v>
      </c>
      <c r="P190" s="68"/>
      <c r="Q190" s="68"/>
      <c r="R190" s="68"/>
      <c r="S190" s="68">
        <f t="shared" si="217"/>
        <v>0</v>
      </c>
      <c r="T190" s="63"/>
      <c r="U190" s="347"/>
      <c r="V190" s="370"/>
      <c r="W190" s="370"/>
      <c r="X190" s="370"/>
      <c r="Y190" s="68">
        <f t="shared" si="218"/>
        <v>0</v>
      </c>
      <c r="Z190" s="345"/>
      <c r="AA190" s="411"/>
      <c r="AB190" s="403"/>
      <c r="AC190" s="403"/>
      <c r="AD190" s="403"/>
      <c r="AE190" s="68">
        <f t="shared" si="219"/>
        <v>0</v>
      </c>
      <c r="AF190" s="366" t="s">
        <v>1097</v>
      </c>
      <c r="AG190" s="358"/>
      <c r="AH190" s="359">
        <v>673.30910732664995</v>
      </c>
      <c r="AI190" s="360"/>
      <c r="AJ190" s="360"/>
      <c r="AK190" s="360" t="str">
        <f t="shared" si="220"/>
        <v/>
      </c>
      <c r="AL190" s="18"/>
      <c r="AM190" s="360" t="str">
        <f t="shared" si="221"/>
        <v>2</v>
      </c>
      <c r="AN190" s="360" t="str">
        <f t="shared" si="222"/>
        <v>2</v>
      </c>
      <c r="AO190" s="360"/>
      <c r="AP190" s="346" t="str">
        <f t="shared" si="223"/>
        <v>2</v>
      </c>
      <c r="AQ190" s="360" t="str">
        <f t="shared" si="224"/>
        <v>2.2..2</v>
      </c>
      <c r="AR190" s="530"/>
      <c r="AS190" s="360"/>
      <c r="AT190" s="362"/>
      <c r="AU190" s="362"/>
      <c r="AV190" s="362"/>
      <c r="AW190" s="362"/>
      <c r="AX190" s="362"/>
      <c r="AY190" s="362"/>
      <c r="AZ190" s="362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</row>
    <row r="191" spans="1:68" ht="20.25" customHeight="1">
      <c r="A191" s="100">
        <v>32</v>
      </c>
      <c r="B191" s="100" t="s">
        <v>46</v>
      </c>
      <c r="C191" s="100" t="s">
        <v>2038</v>
      </c>
      <c r="D191" s="102" t="s">
        <v>419</v>
      </c>
      <c r="E191" s="100" t="str">
        <f t="shared" si="0"/>
        <v>Sama</v>
      </c>
      <c r="F191" s="63">
        <f t="shared" si="214"/>
        <v>174</v>
      </c>
      <c r="G191" s="63">
        <v>12</v>
      </c>
      <c r="H191" s="62" t="s">
        <v>46</v>
      </c>
      <c r="I191" s="62" t="s">
        <v>419</v>
      </c>
      <c r="J191" s="66">
        <v>3106.7060016591186</v>
      </c>
      <c r="K191" s="533" t="s">
        <v>104</v>
      </c>
      <c r="L191" s="68">
        <f t="shared" si="228"/>
        <v>1444.35</v>
      </c>
      <c r="M191" s="63"/>
      <c r="N191" s="392">
        <f t="shared" si="216"/>
        <v>2014</v>
      </c>
      <c r="O191" s="531" t="s">
        <v>709</v>
      </c>
      <c r="P191" s="68">
        <v>1444.35</v>
      </c>
      <c r="Q191" s="68">
        <v>0</v>
      </c>
      <c r="R191" s="68">
        <v>1444.35</v>
      </c>
      <c r="S191" s="68">
        <f t="shared" si="217"/>
        <v>1444.35</v>
      </c>
      <c r="T191" s="63"/>
      <c r="U191" s="347"/>
      <c r="V191" s="370"/>
      <c r="W191" s="370"/>
      <c r="X191" s="370"/>
      <c r="Y191" s="68">
        <f t="shared" si="218"/>
        <v>0</v>
      </c>
      <c r="Z191" s="345"/>
      <c r="AA191" s="411"/>
      <c r="AB191" s="403"/>
      <c r="AC191" s="403"/>
      <c r="AD191" s="403"/>
      <c r="AE191" s="68">
        <f t="shared" si="219"/>
        <v>0</v>
      </c>
      <c r="AF191" s="366" t="s">
        <v>1097</v>
      </c>
      <c r="AG191" s="358"/>
      <c r="AH191" s="359">
        <v>3088.0169211437178</v>
      </c>
      <c r="AI191" s="360"/>
      <c r="AJ191" s="360"/>
      <c r="AK191" s="360" t="str">
        <f t="shared" si="220"/>
        <v/>
      </c>
      <c r="AL191" s="18"/>
      <c r="AM191" s="360" t="str">
        <f t="shared" si="221"/>
        <v>2</v>
      </c>
      <c r="AN191" s="360" t="str">
        <f t="shared" si="222"/>
        <v>1</v>
      </c>
      <c r="AO191" s="360"/>
      <c r="AP191" s="346" t="str">
        <f t="shared" si="223"/>
        <v>2</v>
      </c>
      <c r="AQ191" s="360" t="str">
        <f t="shared" si="224"/>
        <v>2.1..2</v>
      </c>
      <c r="AR191" s="530"/>
      <c r="AS191" s="360"/>
      <c r="AT191" s="362"/>
      <c r="AU191" s="362"/>
      <c r="AV191" s="362"/>
      <c r="AW191" s="362"/>
      <c r="AX191" s="362"/>
      <c r="AY191" s="362"/>
      <c r="AZ191" s="362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</row>
    <row r="192" spans="1:68" ht="20.25" customHeight="1">
      <c r="A192" s="100">
        <v>32</v>
      </c>
      <c r="B192" s="100" t="s">
        <v>46</v>
      </c>
      <c r="C192" s="100" t="s">
        <v>2039</v>
      </c>
      <c r="D192" s="102" t="s">
        <v>421</v>
      </c>
      <c r="E192" s="100" t="str">
        <f t="shared" si="0"/>
        <v>Sama</v>
      </c>
      <c r="F192" s="63">
        <f t="shared" si="214"/>
        <v>175</v>
      </c>
      <c r="G192" s="63">
        <v>13</v>
      </c>
      <c r="H192" s="62" t="s">
        <v>46</v>
      </c>
      <c r="I192" s="62" t="s">
        <v>421</v>
      </c>
      <c r="J192" s="66">
        <v>531.61792129010007</v>
      </c>
      <c r="K192" s="533" t="s">
        <v>123</v>
      </c>
      <c r="L192" s="68">
        <f t="shared" si="228"/>
        <v>0</v>
      </c>
      <c r="M192" s="63"/>
      <c r="N192" s="392">
        <f t="shared" si="216"/>
        <v>2011</v>
      </c>
      <c r="O192" s="531" t="s">
        <v>1365</v>
      </c>
      <c r="P192" s="68"/>
      <c r="Q192" s="68"/>
      <c r="R192" s="68"/>
      <c r="S192" s="68">
        <f t="shared" si="217"/>
        <v>0</v>
      </c>
      <c r="T192" s="63"/>
      <c r="U192" s="347"/>
      <c r="V192" s="370"/>
      <c r="W192" s="370"/>
      <c r="X192" s="370"/>
      <c r="Y192" s="68">
        <f t="shared" si="218"/>
        <v>0</v>
      </c>
      <c r="Z192" s="345"/>
      <c r="AA192" s="411"/>
      <c r="AB192" s="403"/>
      <c r="AC192" s="403"/>
      <c r="AD192" s="403"/>
      <c r="AE192" s="68">
        <f t="shared" si="219"/>
        <v>0</v>
      </c>
      <c r="AF192" s="366" t="s">
        <v>1097</v>
      </c>
      <c r="AG192" s="358"/>
      <c r="AH192" s="359">
        <v>340.51767940713728</v>
      </c>
      <c r="AI192" s="360"/>
      <c r="AJ192" s="360"/>
      <c r="AK192" s="360" t="str">
        <f t="shared" si="220"/>
        <v/>
      </c>
      <c r="AL192" s="18"/>
      <c r="AM192" s="360" t="str">
        <f t="shared" si="221"/>
        <v>2</v>
      </c>
      <c r="AN192" s="360" t="str">
        <f t="shared" si="222"/>
        <v>2</v>
      </c>
      <c r="AO192" s="360"/>
      <c r="AP192" s="346" t="str">
        <f t="shared" si="223"/>
        <v>2</v>
      </c>
      <c r="AQ192" s="360" t="str">
        <f t="shared" si="224"/>
        <v>2.2..2</v>
      </c>
      <c r="AR192" s="530"/>
      <c r="AS192" s="360"/>
      <c r="AT192" s="362"/>
      <c r="AU192" s="362"/>
      <c r="AV192" s="362"/>
      <c r="AW192" s="362"/>
      <c r="AX192" s="362"/>
      <c r="AY192" s="362"/>
      <c r="AZ192" s="362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</row>
    <row r="193" spans="1:68" ht="20.25" customHeight="1">
      <c r="A193" s="100">
        <v>32</v>
      </c>
      <c r="B193" s="100" t="s">
        <v>46</v>
      </c>
      <c r="C193" s="100" t="s">
        <v>2040</v>
      </c>
      <c r="D193" s="102" t="s">
        <v>423</v>
      </c>
      <c r="E193" s="100" t="str">
        <f t="shared" si="0"/>
        <v>Sama</v>
      </c>
      <c r="F193" s="63">
        <f t="shared" si="214"/>
        <v>176</v>
      </c>
      <c r="G193" s="63">
        <v>14</v>
      </c>
      <c r="H193" s="62" t="s">
        <v>46</v>
      </c>
      <c r="I193" s="62" t="s">
        <v>423</v>
      </c>
      <c r="J193" s="66">
        <v>86.447775373743042</v>
      </c>
      <c r="K193" s="533" t="s">
        <v>91</v>
      </c>
      <c r="L193" s="68">
        <f t="shared" si="228"/>
        <v>59</v>
      </c>
      <c r="M193" s="63" t="s">
        <v>1076</v>
      </c>
      <c r="N193" s="365">
        <f t="shared" si="216"/>
        <v>2021</v>
      </c>
      <c r="O193" s="531" t="s">
        <v>234</v>
      </c>
      <c r="P193" s="370">
        <v>59</v>
      </c>
      <c r="Q193" s="370"/>
      <c r="R193" s="370"/>
      <c r="S193" s="68">
        <f t="shared" si="217"/>
        <v>59</v>
      </c>
      <c r="T193" s="63" t="s">
        <v>1076</v>
      </c>
      <c r="U193" s="385" t="s">
        <v>424</v>
      </c>
      <c r="V193" s="370">
        <v>58.63</v>
      </c>
      <c r="W193" s="370">
        <v>0</v>
      </c>
      <c r="X193" s="370">
        <v>58.63</v>
      </c>
      <c r="Y193" s="68">
        <f t="shared" si="218"/>
        <v>58.63</v>
      </c>
      <c r="Z193" s="345"/>
      <c r="AA193" s="409"/>
      <c r="AB193" s="403"/>
      <c r="AC193" s="403"/>
      <c r="AD193" s="403"/>
      <c r="AE193" s="68">
        <f t="shared" si="219"/>
        <v>0</v>
      </c>
      <c r="AF193" s="366">
        <v>2020</v>
      </c>
      <c r="AG193" s="358"/>
      <c r="AH193" s="359">
        <v>183.95609020879073</v>
      </c>
      <c r="AI193" s="360"/>
      <c r="AJ193" s="360"/>
      <c r="AK193" s="360" t="str">
        <f t="shared" si="220"/>
        <v>VV</v>
      </c>
      <c r="AL193" s="18"/>
      <c r="AM193" s="360" t="str">
        <f t="shared" si="221"/>
        <v>1</v>
      </c>
      <c r="AN193" s="360" t="str">
        <f t="shared" si="222"/>
        <v>1</v>
      </c>
      <c r="AO193" s="360"/>
      <c r="AP193" s="346" t="str">
        <f t="shared" si="223"/>
        <v>1</v>
      </c>
      <c r="AQ193" s="360" t="str">
        <f t="shared" si="224"/>
        <v>1.1..1</v>
      </c>
      <c r="AR193" s="530"/>
      <c r="AS193" s="362" t="s">
        <v>424</v>
      </c>
      <c r="AT193" s="362">
        <v>86</v>
      </c>
      <c r="AU193" s="362">
        <v>58</v>
      </c>
      <c r="AV193" s="368">
        <f>AU193/AT193</f>
        <v>0.67441860465116277</v>
      </c>
      <c r="AW193" s="362" t="s">
        <v>1032</v>
      </c>
      <c r="AX193" s="368" t="e">
        <f>AW193/AT193</f>
        <v>#VALUE!</v>
      </c>
      <c r="AY193" s="362">
        <v>86</v>
      </c>
      <c r="AZ193" s="368">
        <f>AY193/AT193</f>
        <v>1</v>
      </c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</row>
    <row r="194" spans="1:68" ht="20.25" customHeight="1">
      <c r="A194" s="100">
        <v>32</v>
      </c>
      <c r="B194" s="100" t="s">
        <v>46</v>
      </c>
      <c r="C194" s="100" t="s">
        <v>2041</v>
      </c>
      <c r="D194" s="102" t="s">
        <v>425</v>
      </c>
      <c r="E194" s="100" t="str">
        <f t="shared" si="0"/>
        <v>Sama</v>
      </c>
      <c r="F194" s="63">
        <f t="shared" si="214"/>
        <v>177</v>
      </c>
      <c r="G194" s="63">
        <v>15</v>
      </c>
      <c r="H194" s="62" t="s">
        <v>46</v>
      </c>
      <c r="I194" s="62" t="s">
        <v>425</v>
      </c>
      <c r="J194" s="66">
        <v>177.19590084800004</v>
      </c>
      <c r="K194" s="533" t="s">
        <v>123</v>
      </c>
      <c r="L194" s="68">
        <f t="shared" si="228"/>
        <v>0</v>
      </c>
      <c r="M194" s="63"/>
      <c r="N194" s="365">
        <f t="shared" si="216"/>
        <v>2013</v>
      </c>
      <c r="O194" s="347" t="s">
        <v>1158</v>
      </c>
      <c r="P194" s="370"/>
      <c r="Q194" s="370"/>
      <c r="R194" s="370"/>
      <c r="S194" s="68">
        <f t="shared" si="217"/>
        <v>0</v>
      </c>
      <c r="T194" s="63"/>
      <c r="U194" s="385" t="s">
        <v>1368</v>
      </c>
      <c r="V194" s="370"/>
      <c r="W194" s="370"/>
      <c r="X194" s="370"/>
      <c r="Y194" s="68">
        <f t="shared" si="218"/>
        <v>0</v>
      </c>
      <c r="Z194" s="345"/>
      <c r="AA194" s="409"/>
      <c r="AB194" s="403"/>
      <c r="AC194" s="403"/>
      <c r="AD194" s="403"/>
      <c r="AE194" s="68">
        <f t="shared" si="219"/>
        <v>0</v>
      </c>
      <c r="AF194" s="366" t="s">
        <v>1097</v>
      </c>
      <c r="AG194" s="358"/>
      <c r="AH194" s="359">
        <v>146.91058685737784</v>
      </c>
      <c r="AI194" s="360"/>
      <c r="AJ194" s="360"/>
      <c r="AK194" s="360" t="str">
        <f t="shared" si="220"/>
        <v/>
      </c>
      <c r="AL194" s="18"/>
      <c r="AM194" s="360" t="str">
        <f t="shared" si="221"/>
        <v>2</v>
      </c>
      <c r="AN194" s="360" t="str">
        <f t="shared" si="222"/>
        <v>2</v>
      </c>
      <c r="AO194" s="360"/>
      <c r="AP194" s="346" t="str">
        <f t="shared" si="223"/>
        <v>2</v>
      </c>
      <c r="AQ194" s="360" t="str">
        <f t="shared" si="224"/>
        <v>2.2..2</v>
      </c>
      <c r="AR194" s="530"/>
      <c r="AS194" s="360"/>
      <c r="AT194" s="362"/>
      <c r="AU194" s="362"/>
      <c r="AV194" s="362"/>
      <c r="AW194" s="362"/>
      <c r="AX194" s="362"/>
      <c r="AY194" s="362"/>
      <c r="AZ194" s="362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</row>
    <row r="195" spans="1:68" ht="20.25" customHeight="1">
      <c r="A195" s="100">
        <v>32</v>
      </c>
      <c r="B195" s="100" t="s">
        <v>46</v>
      </c>
      <c r="C195" s="100" t="s">
        <v>2042</v>
      </c>
      <c r="D195" s="102" t="s">
        <v>426</v>
      </c>
      <c r="E195" s="100" t="str">
        <f t="shared" si="0"/>
        <v>Sama</v>
      </c>
      <c r="F195" s="63">
        <f t="shared" si="214"/>
        <v>178</v>
      </c>
      <c r="G195" s="63">
        <v>16</v>
      </c>
      <c r="H195" s="62" t="s">
        <v>46</v>
      </c>
      <c r="I195" s="62" t="s">
        <v>426</v>
      </c>
      <c r="J195" s="66">
        <v>272.69626743929405</v>
      </c>
      <c r="K195" s="533" t="s">
        <v>91</v>
      </c>
      <c r="L195" s="68">
        <f t="shared" si="228"/>
        <v>2.9899999999999998</v>
      </c>
      <c r="M195" s="63"/>
      <c r="N195" s="392">
        <f t="shared" si="216"/>
        <v>2012</v>
      </c>
      <c r="O195" s="382" t="s">
        <v>223</v>
      </c>
      <c r="P195" s="68"/>
      <c r="Q195" s="68"/>
      <c r="R195" s="68"/>
      <c r="S195" s="68">
        <f t="shared" si="217"/>
        <v>0</v>
      </c>
      <c r="T195" s="63"/>
      <c r="U195" s="385"/>
      <c r="V195" s="370"/>
      <c r="W195" s="370"/>
      <c r="X195" s="370"/>
      <c r="Y195" s="68">
        <f t="shared" si="218"/>
        <v>0</v>
      </c>
      <c r="Z195" s="345" t="s">
        <v>1076</v>
      </c>
      <c r="AA195" s="409" t="s">
        <v>427</v>
      </c>
      <c r="AB195" s="403">
        <v>2.69</v>
      </c>
      <c r="AC195" s="403">
        <v>0.3</v>
      </c>
      <c r="AD195" s="403">
        <v>2.9899999999999998</v>
      </c>
      <c r="AE195" s="68">
        <f t="shared" si="219"/>
        <v>2.9899999999999998</v>
      </c>
      <c r="AF195" s="364" t="s">
        <v>1097</v>
      </c>
      <c r="AG195" s="344"/>
      <c r="AH195" s="84">
        <v>229.31575326126645</v>
      </c>
      <c r="AI195" s="63"/>
      <c r="AJ195" s="63"/>
      <c r="AK195" s="63" t="str">
        <f t="shared" si="220"/>
        <v>V</v>
      </c>
      <c r="AL195" s="47"/>
      <c r="AM195" s="63" t="str">
        <f t="shared" si="221"/>
        <v>2</v>
      </c>
      <c r="AN195" s="63" t="str">
        <f t="shared" si="222"/>
        <v>2</v>
      </c>
      <c r="AO195" s="63"/>
      <c r="AP195" s="346" t="str">
        <f t="shared" si="223"/>
        <v>1</v>
      </c>
      <c r="AQ195" s="63" t="str">
        <f t="shared" si="224"/>
        <v>2.2..1</v>
      </c>
      <c r="AR195" s="534"/>
      <c r="AS195" s="347"/>
      <c r="AT195" s="95"/>
      <c r="AU195" s="95"/>
      <c r="AV195" s="371" t="e">
        <f>AU195/AT195</f>
        <v>#DIV/0!</v>
      </c>
      <c r="AW195" s="95"/>
      <c r="AX195" s="371" t="e">
        <f>AW195/AT195</f>
        <v>#DIV/0!</v>
      </c>
      <c r="AY195" s="95"/>
      <c r="AZ195" s="371" t="e">
        <f>AY195/AT195</f>
        <v>#DIV/0!</v>
      </c>
      <c r="BA195" s="47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</row>
    <row r="196" spans="1:68" ht="20.25" customHeight="1">
      <c r="A196" s="100">
        <v>32</v>
      </c>
      <c r="B196" s="100" t="s">
        <v>46</v>
      </c>
      <c r="C196" s="100" t="s">
        <v>2043</v>
      </c>
      <c r="D196" s="102" t="s">
        <v>428</v>
      </c>
      <c r="E196" s="100" t="str">
        <f t="shared" si="0"/>
        <v>Sama</v>
      </c>
      <c r="F196" s="63">
        <f t="shared" si="214"/>
        <v>179</v>
      </c>
      <c r="G196" s="63">
        <v>17</v>
      </c>
      <c r="H196" s="62" t="s">
        <v>46</v>
      </c>
      <c r="I196" s="62" t="s">
        <v>428</v>
      </c>
      <c r="J196" s="66">
        <v>7.3879501038200006</v>
      </c>
      <c r="K196" s="533" t="s">
        <v>123</v>
      </c>
      <c r="L196" s="68"/>
      <c r="M196" s="63"/>
      <c r="N196" s="392">
        <f t="shared" si="216"/>
        <v>2022</v>
      </c>
      <c r="O196" s="382" t="s">
        <v>429</v>
      </c>
      <c r="P196" s="68"/>
      <c r="Q196" s="68"/>
      <c r="R196" s="412">
        <v>5.84</v>
      </c>
      <c r="S196" s="68">
        <f t="shared" si="217"/>
        <v>5.84</v>
      </c>
      <c r="T196" s="63"/>
      <c r="U196" s="385"/>
      <c r="V196" s="370"/>
      <c r="W196" s="370"/>
      <c r="X196" s="370"/>
      <c r="Y196" s="68">
        <f t="shared" si="218"/>
        <v>0</v>
      </c>
      <c r="Z196" s="345"/>
      <c r="AA196" s="409"/>
      <c r="AB196" s="403"/>
      <c r="AC196" s="403"/>
      <c r="AD196" s="403"/>
      <c r="AE196" s="68">
        <f t="shared" si="219"/>
        <v>0</v>
      </c>
      <c r="AF196" s="366" t="s">
        <v>1097</v>
      </c>
      <c r="AG196" s="358"/>
      <c r="AH196" s="359">
        <v>45.042914509277686</v>
      </c>
      <c r="AI196" s="360"/>
      <c r="AJ196" s="360"/>
      <c r="AK196" s="360" t="str">
        <f t="shared" si="220"/>
        <v/>
      </c>
      <c r="AL196" s="18"/>
      <c r="AM196" s="360" t="str">
        <f t="shared" si="221"/>
        <v>1</v>
      </c>
      <c r="AN196" s="360" t="str">
        <f t="shared" si="222"/>
        <v>1</v>
      </c>
      <c r="AO196" s="360"/>
      <c r="AP196" s="346" t="str">
        <f t="shared" si="223"/>
        <v>2</v>
      </c>
      <c r="AQ196" s="360" t="str">
        <f t="shared" si="224"/>
        <v>1.1..2</v>
      </c>
      <c r="AR196" s="530"/>
      <c r="AS196" s="360"/>
      <c r="AT196" s="362"/>
      <c r="AU196" s="362"/>
      <c r="AV196" s="362"/>
      <c r="AW196" s="362"/>
      <c r="AX196" s="362"/>
      <c r="AY196" s="362"/>
      <c r="AZ196" s="362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</row>
    <row r="197" spans="1:68" ht="20.25" customHeight="1">
      <c r="A197" s="100">
        <v>32</v>
      </c>
      <c r="B197" s="100" t="s">
        <v>46</v>
      </c>
      <c r="C197" s="100" t="s">
        <v>2044</v>
      </c>
      <c r="D197" s="102" t="s">
        <v>430</v>
      </c>
      <c r="E197" s="100" t="str">
        <f t="shared" si="0"/>
        <v>Sama</v>
      </c>
      <c r="F197" s="63">
        <f t="shared" si="214"/>
        <v>180</v>
      </c>
      <c r="G197" s="63">
        <v>18</v>
      </c>
      <c r="H197" s="62" t="s">
        <v>46</v>
      </c>
      <c r="I197" s="62" t="s">
        <v>430</v>
      </c>
      <c r="J197" s="66">
        <v>1509.8589320140009</v>
      </c>
      <c r="K197" s="533" t="s">
        <v>91</v>
      </c>
      <c r="L197" s="68">
        <f t="shared" ref="L197:L198" si="229">IF(S197&gt;0,S197,IF(Y197&gt;0,Y197,IF(AE197&gt;0,AE197,0)))</f>
        <v>425</v>
      </c>
      <c r="M197" s="63" t="s">
        <v>1076</v>
      </c>
      <c r="N197" s="365">
        <f t="shared" si="216"/>
        <v>2022</v>
      </c>
      <c r="O197" s="347" t="s">
        <v>159</v>
      </c>
      <c r="P197" s="370"/>
      <c r="Q197" s="370"/>
      <c r="R197" s="370">
        <v>425</v>
      </c>
      <c r="S197" s="68">
        <f t="shared" si="217"/>
        <v>425</v>
      </c>
      <c r="T197" s="63"/>
      <c r="U197" s="385" t="s">
        <v>1372</v>
      </c>
      <c r="V197" s="370">
        <v>321</v>
      </c>
      <c r="W197" s="370">
        <v>0</v>
      </c>
      <c r="X197" s="370">
        <v>321</v>
      </c>
      <c r="Y197" s="68">
        <f t="shared" si="218"/>
        <v>321</v>
      </c>
      <c r="Z197" s="345"/>
      <c r="AA197" s="409"/>
      <c r="AB197" s="403"/>
      <c r="AC197" s="403"/>
      <c r="AD197" s="403"/>
      <c r="AE197" s="68">
        <f t="shared" si="219"/>
        <v>0</v>
      </c>
      <c r="AF197" s="366">
        <v>2020</v>
      </c>
      <c r="AG197" s="358"/>
      <c r="AH197" s="359">
        <v>1275.5093326287281</v>
      </c>
      <c r="AI197" s="360"/>
      <c r="AJ197" s="360"/>
      <c r="AK197" s="360" t="str">
        <f t="shared" si="220"/>
        <v>V</v>
      </c>
      <c r="AL197" s="18"/>
      <c r="AM197" s="360" t="str">
        <f t="shared" si="221"/>
        <v>1</v>
      </c>
      <c r="AN197" s="360" t="str">
        <f t="shared" si="222"/>
        <v>1</v>
      </c>
      <c r="AO197" s="360"/>
      <c r="AP197" s="346" t="str">
        <f t="shared" si="223"/>
        <v>1</v>
      </c>
      <c r="AQ197" s="360" t="str">
        <f t="shared" si="224"/>
        <v>1.1..1</v>
      </c>
      <c r="AR197" s="530"/>
      <c r="AS197" s="362" t="s">
        <v>159</v>
      </c>
      <c r="AT197" s="367">
        <v>1510</v>
      </c>
      <c r="AU197" s="362">
        <v>425</v>
      </c>
      <c r="AV197" s="368">
        <f>AU197/AT197</f>
        <v>0.2814569536423841</v>
      </c>
      <c r="AW197" s="362">
        <v>397</v>
      </c>
      <c r="AX197" s="368">
        <f>AW197/AT197</f>
        <v>0.26291390728476821</v>
      </c>
      <c r="AY197" s="367">
        <v>1113</v>
      </c>
      <c r="AZ197" s="368">
        <f>AY197/AT197</f>
        <v>0.73708609271523173</v>
      </c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</row>
    <row r="198" spans="1:68" ht="20.25" customHeight="1">
      <c r="A198" s="100">
        <v>32</v>
      </c>
      <c r="B198" s="100" t="s">
        <v>46</v>
      </c>
      <c r="C198" s="100" t="s">
        <v>2045</v>
      </c>
      <c r="D198" s="102" t="s">
        <v>431</v>
      </c>
      <c r="E198" s="100" t="str">
        <f t="shared" si="0"/>
        <v>Sama</v>
      </c>
      <c r="F198" s="63">
        <f t="shared" si="214"/>
        <v>181</v>
      </c>
      <c r="G198" s="63">
        <v>19</v>
      </c>
      <c r="H198" s="62" t="s">
        <v>46</v>
      </c>
      <c r="I198" s="62" t="s">
        <v>431</v>
      </c>
      <c r="J198" s="66">
        <v>5373.1439484360899</v>
      </c>
      <c r="K198" s="533" t="s">
        <v>123</v>
      </c>
      <c r="L198" s="68">
        <f t="shared" si="229"/>
        <v>0</v>
      </c>
      <c r="M198" s="63"/>
      <c r="N198" s="365">
        <f t="shared" si="216"/>
        <v>2012</v>
      </c>
      <c r="O198" s="347" t="s">
        <v>432</v>
      </c>
      <c r="P198" s="370"/>
      <c r="Q198" s="370"/>
      <c r="R198" s="370"/>
      <c r="S198" s="68">
        <f t="shared" si="217"/>
        <v>0</v>
      </c>
      <c r="T198" s="63"/>
      <c r="U198" s="385"/>
      <c r="V198" s="370"/>
      <c r="W198" s="370"/>
      <c r="X198" s="370"/>
      <c r="Y198" s="68">
        <f t="shared" si="218"/>
        <v>0</v>
      </c>
      <c r="Z198" s="345"/>
      <c r="AA198" s="409"/>
      <c r="AB198" s="403"/>
      <c r="AC198" s="403"/>
      <c r="AD198" s="403"/>
      <c r="AE198" s="68">
        <f t="shared" si="219"/>
        <v>0</v>
      </c>
      <c r="AF198" s="366" t="s">
        <v>1097</v>
      </c>
      <c r="AG198" s="358"/>
      <c r="AH198" s="359">
        <v>4843.3905308137928</v>
      </c>
      <c r="AI198" s="360"/>
      <c r="AJ198" s="360"/>
      <c r="AK198" s="360" t="str">
        <f t="shared" si="220"/>
        <v/>
      </c>
      <c r="AL198" s="18"/>
      <c r="AM198" s="360" t="str">
        <f t="shared" si="221"/>
        <v>2</v>
      </c>
      <c r="AN198" s="360" t="str">
        <f t="shared" si="222"/>
        <v>2</v>
      </c>
      <c r="AO198" s="360"/>
      <c r="AP198" s="346" t="str">
        <f t="shared" si="223"/>
        <v>2</v>
      </c>
      <c r="AQ198" s="360" t="str">
        <f t="shared" si="224"/>
        <v>2.2..2</v>
      </c>
      <c r="AR198" s="530"/>
      <c r="AS198" s="360"/>
      <c r="AT198" s="362"/>
      <c r="AU198" s="362"/>
      <c r="AV198" s="362"/>
      <c r="AW198" s="362"/>
      <c r="AX198" s="362"/>
      <c r="AY198" s="362"/>
      <c r="AZ198" s="362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</row>
    <row r="199" spans="1:68" ht="20.25" customHeight="1">
      <c r="A199" s="100">
        <v>32</v>
      </c>
      <c r="B199" s="100" t="s">
        <v>46</v>
      </c>
      <c r="C199" s="100" t="s">
        <v>2046</v>
      </c>
      <c r="D199" s="102" t="s">
        <v>433</v>
      </c>
      <c r="E199" s="100" t="str">
        <f t="shared" si="0"/>
        <v>Sama</v>
      </c>
      <c r="F199" s="63">
        <f t="shared" si="214"/>
        <v>182</v>
      </c>
      <c r="G199" s="63">
        <v>20</v>
      </c>
      <c r="H199" s="62" t="s">
        <v>46</v>
      </c>
      <c r="I199" s="62" t="s">
        <v>433</v>
      </c>
      <c r="J199" s="66">
        <v>28016.982784532218</v>
      </c>
      <c r="K199" s="533" t="s">
        <v>91</v>
      </c>
      <c r="L199" s="68">
        <f t="shared" ref="L199:L200" si="230">AE199</f>
        <v>22997</v>
      </c>
      <c r="M199" s="63"/>
      <c r="N199" s="392">
        <f t="shared" si="216"/>
        <v>2011</v>
      </c>
      <c r="O199" s="382" t="s">
        <v>1375</v>
      </c>
      <c r="P199" s="68">
        <v>11706</v>
      </c>
      <c r="Q199" s="68">
        <v>0</v>
      </c>
      <c r="R199" s="68">
        <v>11706</v>
      </c>
      <c r="S199" s="68">
        <f t="shared" si="217"/>
        <v>11706</v>
      </c>
      <c r="T199" s="63"/>
      <c r="U199" s="385" t="s">
        <v>520</v>
      </c>
      <c r="V199" s="370">
        <v>11706</v>
      </c>
      <c r="W199" s="370">
        <v>0</v>
      </c>
      <c r="X199" s="370">
        <v>11706</v>
      </c>
      <c r="Y199" s="68">
        <f t="shared" si="218"/>
        <v>11706</v>
      </c>
      <c r="Z199" s="345" t="s">
        <v>1076</v>
      </c>
      <c r="AA199" s="542" t="s">
        <v>434</v>
      </c>
      <c r="AB199" s="403">
        <v>20968</v>
      </c>
      <c r="AC199" s="404">
        <v>2029</v>
      </c>
      <c r="AD199" s="403">
        <f>SUM(AB199:AC199)</f>
        <v>22997</v>
      </c>
      <c r="AE199" s="68">
        <f t="shared" si="219"/>
        <v>22997</v>
      </c>
      <c r="AF199" s="364">
        <v>2021</v>
      </c>
      <c r="AG199" s="344"/>
      <c r="AH199" s="84">
        <v>27388.251133504476</v>
      </c>
      <c r="AI199" s="63"/>
      <c r="AJ199" s="63"/>
      <c r="AK199" s="63" t="str">
        <f t="shared" si="220"/>
        <v>V</v>
      </c>
      <c r="AL199" s="47"/>
      <c r="AM199" s="63" t="str">
        <f t="shared" si="221"/>
        <v>2</v>
      </c>
      <c r="AN199" s="63" t="str">
        <f t="shared" si="222"/>
        <v>1</v>
      </c>
      <c r="AO199" s="63"/>
      <c r="AP199" s="346" t="str">
        <f t="shared" si="223"/>
        <v>1</v>
      </c>
      <c r="AQ199" s="63" t="str">
        <f t="shared" si="224"/>
        <v>2.1..1</v>
      </c>
      <c r="AR199" s="534"/>
      <c r="AS199" s="64" t="s">
        <v>2047</v>
      </c>
      <c r="AT199" s="95">
        <v>28016.98</v>
      </c>
      <c r="AU199" s="95">
        <v>22997</v>
      </c>
      <c r="AV199" s="371">
        <f t="shared" ref="AV199:AV200" si="231">AU199/AT199</f>
        <v>0.8208236576533231</v>
      </c>
      <c r="AW199" s="95">
        <v>20686</v>
      </c>
      <c r="AX199" s="371"/>
      <c r="AY199" s="95">
        <v>7331</v>
      </c>
      <c r="AZ199" s="371"/>
      <c r="BA199" s="47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</row>
    <row r="200" spans="1:68" ht="20.25" customHeight="1">
      <c r="A200" s="100">
        <v>32</v>
      </c>
      <c r="B200" s="100" t="s">
        <v>46</v>
      </c>
      <c r="C200" s="100" t="s">
        <v>2048</v>
      </c>
      <c r="D200" s="102" t="s">
        <v>435</v>
      </c>
      <c r="E200" s="100" t="str">
        <f t="shared" si="0"/>
        <v>Sama</v>
      </c>
      <c r="F200" s="63">
        <f t="shared" si="214"/>
        <v>183</v>
      </c>
      <c r="G200" s="63">
        <v>21</v>
      </c>
      <c r="H200" s="62" t="s">
        <v>46</v>
      </c>
      <c r="I200" s="62" t="s">
        <v>435</v>
      </c>
      <c r="J200" s="66">
        <v>56161.634647420331</v>
      </c>
      <c r="K200" s="533" t="s">
        <v>91</v>
      </c>
      <c r="L200" s="68">
        <f t="shared" si="230"/>
        <v>30996.42</v>
      </c>
      <c r="M200" s="63"/>
      <c r="N200" s="392">
        <f t="shared" si="216"/>
        <v>2011</v>
      </c>
      <c r="O200" s="382" t="s">
        <v>1321</v>
      </c>
      <c r="P200" s="68">
        <v>39190</v>
      </c>
      <c r="Q200" s="68">
        <v>0</v>
      </c>
      <c r="R200" s="68">
        <v>39190</v>
      </c>
      <c r="S200" s="68">
        <f t="shared" si="217"/>
        <v>39190</v>
      </c>
      <c r="T200" s="63"/>
      <c r="U200" s="385"/>
      <c r="V200" s="370"/>
      <c r="W200" s="370"/>
      <c r="X200" s="370"/>
      <c r="Y200" s="68">
        <f t="shared" si="218"/>
        <v>0</v>
      </c>
      <c r="Z200" s="345" t="s">
        <v>1076</v>
      </c>
      <c r="AA200" s="409" t="s">
        <v>436</v>
      </c>
      <c r="AB200" s="403">
        <v>30996.42</v>
      </c>
      <c r="AC200" s="403"/>
      <c r="AD200" s="403"/>
      <c r="AE200" s="68">
        <f t="shared" si="219"/>
        <v>30996.42</v>
      </c>
      <c r="AF200" s="364">
        <v>2021</v>
      </c>
      <c r="AG200" s="344"/>
      <c r="AH200" s="84">
        <v>52345.074338736798</v>
      </c>
      <c r="AI200" s="63"/>
      <c r="AJ200" s="63"/>
      <c r="AK200" s="63" t="str">
        <f t="shared" si="220"/>
        <v>V</v>
      </c>
      <c r="AL200" s="47"/>
      <c r="AM200" s="63" t="str">
        <f t="shared" si="221"/>
        <v>2</v>
      </c>
      <c r="AN200" s="63" t="str">
        <f t="shared" si="222"/>
        <v>1</v>
      </c>
      <c r="AO200" s="63"/>
      <c r="AP200" s="346" t="str">
        <f t="shared" si="223"/>
        <v>1</v>
      </c>
      <c r="AQ200" s="63" t="str">
        <f t="shared" si="224"/>
        <v>2.1..1</v>
      </c>
      <c r="AR200" s="534"/>
      <c r="AS200" s="64" t="s">
        <v>2049</v>
      </c>
      <c r="AT200" s="95">
        <v>56161.63</v>
      </c>
      <c r="AU200" s="95">
        <v>30996.42</v>
      </c>
      <c r="AV200" s="371">
        <f t="shared" si="231"/>
        <v>0.5519145366685404</v>
      </c>
      <c r="AW200" s="95">
        <v>30293</v>
      </c>
      <c r="AX200" s="371"/>
      <c r="AY200" s="95">
        <v>25868</v>
      </c>
      <c r="AZ200" s="371"/>
      <c r="BA200" s="47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</row>
    <row r="201" spans="1:68" ht="20.25" customHeight="1">
      <c r="A201" s="100">
        <v>32</v>
      </c>
      <c r="B201" s="100" t="s">
        <v>46</v>
      </c>
      <c r="C201" s="100" t="s">
        <v>2050</v>
      </c>
      <c r="D201" s="102" t="s">
        <v>437</v>
      </c>
      <c r="E201" s="100" t="str">
        <f t="shared" si="0"/>
        <v>Sama</v>
      </c>
      <c r="F201" s="63">
        <f t="shared" si="214"/>
        <v>184</v>
      </c>
      <c r="G201" s="63">
        <v>22</v>
      </c>
      <c r="H201" s="62" t="s">
        <v>46</v>
      </c>
      <c r="I201" s="62" t="s">
        <v>437</v>
      </c>
      <c r="J201" s="66">
        <v>17674.683865806546</v>
      </c>
      <c r="K201" s="533" t="s">
        <v>104</v>
      </c>
      <c r="L201" s="68">
        <f>IF(S201&gt;0,S201,IF(Y201&gt;0,Y201,IF(AE201&gt;0,AE201,0)))</f>
        <v>20122</v>
      </c>
      <c r="M201" s="63"/>
      <c r="N201" s="392">
        <f t="shared" si="216"/>
        <v>2018</v>
      </c>
      <c r="O201" s="382" t="s">
        <v>438</v>
      </c>
      <c r="P201" s="68">
        <v>20122</v>
      </c>
      <c r="Q201" s="68">
        <v>0</v>
      </c>
      <c r="R201" s="68">
        <v>20122</v>
      </c>
      <c r="S201" s="68">
        <f t="shared" si="217"/>
        <v>20122</v>
      </c>
      <c r="T201" s="63"/>
      <c r="U201" s="385" t="s">
        <v>868</v>
      </c>
      <c r="V201" s="370">
        <v>12785</v>
      </c>
      <c r="W201" s="370">
        <v>0</v>
      </c>
      <c r="X201" s="370">
        <v>0</v>
      </c>
      <c r="Y201" s="68">
        <f t="shared" si="218"/>
        <v>12785</v>
      </c>
      <c r="Z201" s="345"/>
      <c r="AA201" s="409"/>
      <c r="AB201" s="403"/>
      <c r="AC201" s="403"/>
      <c r="AD201" s="403"/>
      <c r="AE201" s="68">
        <f t="shared" si="219"/>
        <v>0</v>
      </c>
      <c r="AF201" s="366">
        <v>2023</v>
      </c>
      <c r="AG201" s="358" t="s">
        <v>1160</v>
      </c>
      <c r="AH201" s="359">
        <v>18536.753368356978</v>
      </c>
      <c r="AI201" s="360"/>
      <c r="AJ201" s="360"/>
      <c r="AK201" s="360" t="str">
        <f t="shared" si="220"/>
        <v/>
      </c>
      <c r="AL201" s="18"/>
      <c r="AM201" s="360" t="str">
        <f t="shared" si="221"/>
        <v>2</v>
      </c>
      <c r="AN201" s="360" t="str">
        <f t="shared" si="222"/>
        <v>1</v>
      </c>
      <c r="AO201" s="360"/>
      <c r="AP201" s="346" t="str">
        <f t="shared" si="223"/>
        <v>1</v>
      </c>
      <c r="AQ201" s="360" t="str">
        <f t="shared" si="224"/>
        <v>2.1..1</v>
      </c>
      <c r="AR201" s="530"/>
      <c r="AS201" s="360"/>
      <c r="AT201" s="362"/>
      <c r="AU201" s="362"/>
      <c r="AV201" s="362"/>
      <c r="AW201" s="362"/>
      <c r="AX201" s="362"/>
      <c r="AY201" s="362"/>
      <c r="AZ201" s="362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</row>
    <row r="202" spans="1:68" ht="20.25" customHeight="1">
      <c r="A202" s="100">
        <v>32</v>
      </c>
      <c r="B202" s="100" t="s">
        <v>46</v>
      </c>
      <c r="C202" s="100" t="s">
        <v>2051</v>
      </c>
      <c r="D202" s="102" t="s">
        <v>439</v>
      </c>
      <c r="E202" s="100" t="str">
        <f t="shared" si="0"/>
        <v>Sama</v>
      </c>
      <c r="F202" s="63">
        <f t="shared" si="214"/>
        <v>185</v>
      </c>
      <c r="G202" s="63">
        <v>23</v>
      </c>
      <c r="H202" s="62" t="s">
        <v>46</v>
      </c>
      <c r="I202" s="62" t="s">
        <v>439</v>
      </c>
      <c r="J202" s="66">
        <v>19245.060403105945</v>
      </c>
      <c r="K202" s="533" t="s">
        <v>91</v>
      </c>
      <c r="L202" s="68">
        <f t="shared" ref="L202:L203" si="232">AE202</f>
        <v>16240</v>
      </c>
      <c r="M202" s="63"/>
      <c r="N202" s="392">
        <f t="shared" si="216"/>
        <v>2012</v>
      </c>
      <c r="O202" s="382" t="s">
        <v>323</v>
      </c>
      <c r="P202" s="68">
        <v>4972</v>
      </c>
      <c r="Q202" s="68">
        <v>0</v>
      </c>
      <c r="R202" s="68">
        <v>4972</v>
      </c>
      <c r="S202" s="68">
        <f t="shared" si="217"/>
        <v>4972</v>
      </c>
      <c r="T202" s="63"/>
      <c r="U202" s="385"/>
      <c r="V202" s="370"/>
      <c r="W202" s="370"/>
      <c r="X202" s="370"/>
      <c r="Y202" s="68">
        <f t="shared" si="218"/>
        <v>0</v>
      </c>
      <c r="Z202" s="345" t="s">
        <v>1076</v>
      </c>
      <c r="AA202" s="409" t="s">
        <v>440</v>
      </c>
      <c r="AB202" s="403">
        <v>16240</v>
      </c>
      <c r="AC202" s="403"/>
      <c r="AD202" s="403"/>
      <c r="AE202" s="68">
        <f t="shared" si="219"/>
        <v>16240</v>
      </c>
      <c r="AF202" s="364">
        <v>2021</v>
      </c>
      <c r="AG202" s="344"/>
      <c r="AH202" s="84">
        <v>17590.070844536618</v>
      </c>
      <c r="AI202" s="63"/>
      <c r="AJ202" s="63"/>
      <c r="AK202" s="63" t="str">
        <f t="shared" si="220"/>
        <v>V</v>
      </c>
      <c r="AL202" s="47"/>
      <c r="AM202" s="63" t="str">
        <f t="shared" si="221"/>
        <v>2</v>
      </c>
      <c r="AN202" s="63" t="str">
        <f t="shared" si="222"/>
        <v>1</v>
      </c>
      <c r="AO202" s="63"/>
      <c r="AP202" s="346" t="str">
        <f t="shared" si="223"/>
        <v>1</v>
      </c>
      <c r="AQ202" s="63" t="str">
        <f t="shared" si="224"/>
        <v>2.1..1</v>
      </c>
      <c r="AR202" s="534"/>
      <c r="AS202" s="64" t="s">
        <v>2052</v>
      </c>
      <c r="AT202" s="95">
        <v>19245.060000000001</v>
      </c>
      <c r="AU202" s="95">
        <v>16240</v>
      </c>
      <c r="AV202" s="371">
        <f t="shared" ref="AV202:AV203" si="233">AU202/AT202</f>
        <v>0.8438529160210464</v>
      </c>
      <c r="AW202" s="95">
        <v>15846</v>
      </c>
      <c r="AX202" s="371"/>
      <c r="AY202" s="95">
        <v>3399</v>
      </c>
      <c r="AZ202" s="371"/>
      <c r="BA202" s="47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</row>
    <row r="203" spans="1:68" ht="20.25" customHeight="1">
      <c r="A203" s="100">
        <v>32</v>
      </c>
      <c r="B203" s="100" t="s">
        <v>46</v>
      </c>
      <c r="C203" s="100" t="s">
        <v>2053</v>
      </c>
      <c r="D203" s="102" t="s">
        <v>441</v>
      </c>
      <c r="E203" s="100" t="str">
        <f t="shared" si="0"/>
        <v>Sama</v>
      </c>
      <c r="F203" s="63">
        <f t="shared" si="214"/>
        <v>186</v>
      </c>
      <c r="G203" s="63">
        <v>24</v>
      </c>
      <c r="H203" s="62" t="s">
        <v>46</v>
      </c>
      <c r="I203" s="62" t="s">
        <v>441</v>
      </c>
      <c r="J203" s="66">
        <v>90531.767625159118</v>
      </c>
      <c r="K203" s="533" t="s">
        <v>91</v>
      </c>
      <c r="L203" s="68">
        <f t="shared" si="232"/>
        <v>64245.51</v>
      </c>
      <c r="M203" s="63"/>
      <c r="N203" s="392">
        <f t="shared" si="216"/>
        <v>2014</v>
      </c>
      <c r="O203" s="382" t="s">
        <v>729</v>
      </c>
      <c r="P203" s="68">
        <v>77638</v>
      </c>
      <c r="Q203" s="68">
        <v>0</v>
      </c>
      <c r="R203" s="68">
        <v>77638</v>
      </c>
      <c r="S203" s="68">
        <f t="shared" si="217"/>
        <v>77638</v>
      </c>
      <c r="T203" s="63"/>
      <c r="U203" s="385"/>
      <c r="V203" s="370"/>
      <c r="W203" s="370"/>
      <c r="X203" s="370"/>
      <c r="Y203" s="68">
        <f t="shared" si="218"/>
        <v>0</v>
      </c>
      <c r="Z203" s="345" t="s">
        <v>1076</v>
      </c>
      <c r="AA203" s="409" t="s">
        <v>442</v>
      </c>
      <c r="AB203" s="403">
        <v>64245.51</v>
      </c>
      <c r="AC203" s="403">
        <v>6736.11</v>
      </c>
      <c r="AD203" s="403"/>
      <c r="AE203" s="68">
        <f t="shared" si="219"/>
        <v>64245.51</v>
      </c>
      <c r="AF203" s="364">
        <v>2021</v>
      </c>
      <c r="AG203" s="344"/>
      <c r="AH203" s="84">
        <v>88423.082469194094</v>
      </c>
      <c r="AI203" s="63"/>
      <c r="AJ203" s="63"/>
      <c r="AK203" s="63" t="str">
        <f t="shared" si="220"/>
        <v>V</v>
      </c>
      <c r="AL203" s="47"/>
      <c r="AM203" s="63" t="str">
        <f t="shared" si="221"/>
        <v>2</v>
      </c>
      <c r="AN203" s="63" t="str">
        <f t="shared" si="222"/>
        <v>1</v>
      </c>
      <c r="AO203" s="63"/>
      <c r="AP203" s="346" t="str">
        <f t="shared" si="223"/>
        <v>1</v>
      </c>
      <c r="AQ203" s="63" t="str">
        <f t="shared" si="224"/>
        <v>2.1..1</v>
      </c>
      <c r="AR203" s="534"/>
      <c r="AS203" s="64" t="s">
        <v>2054</v>
      </c>
      <c r="AT203" s="95">
        <v>90531.77</v>
      </c>
      <c r="AU203" s="95">
        <v>70981.62</v>
      </c>
      <c r="AV203" s="371">
        <f t="shared" si="233"/>
        <v>0.78405205156156776</v>
      </c>
      <c r="AW203" s="95">
        <v>64468</v>
      </c>
      <c r="AX203" s="371"/>
      <c r="AY203" s="95">
        <v>26063</v>
      </c>
      <c r="AZ203" s="371"/>
      <c r="BA203" s="47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</row>
    <row r="204" spans="1:68" ht="20.25" customHeight="1">
      <c r="A204" s="100">
        <v>32</v>
      </c>
      <c r="B204" s="100" t="s">
        <v>46</v>
      </c>
      <c r="C204" s="100" t="s">
        <v>2055</v>
      </c>
      <c r="D204" s="102" t="s">
        <v>443</v>
      </c>
      <c r="E204" s="100" t="str">
        <f t="shared" si="0"/>
        <v>Sama</v>
      </c>
      <c r="F204" s="63">
        <f t="shared" si="214"/>
        <v>187</v>
      </c>
      <c r="G204" s="63">
        <v>25</v>
      </c>
      <c r="H204" s="62" t="s">
        <v>46</v>
      </c>
      <c r="I204" s="62" t="s">
        <v>443</v>
      </c>
      <c r="J204" s="66">
        <v>56782.666303111815</v>
      </c>
      <c r="K204" s="533" t="s">
        <v>104</v>
      </c>
      <c r="L204" s="68">
        <f t="shared" ref="L204:L205" si="234">IF(S204&gt;0,S204,IF(Y204&gt;0,Y204,IF(AE204&gt;0,AE204,0)))</f>
        <v>64077</v>
      </c>
      <c r="M204" s="63"/>
      <c r="N204" s="392">
        <f t="shared" si="216"/>
        <v>2012</v>
      </c>
      <c r="O204" s="382" t="s">
        <v>338</v>
      </c>
      <c r="P204" s="68">
        <v>64077</v>
      </c>
      <c r="Q204" s="68">
        <v>0</v>
      </c>
      <c r="R204" s="68">
        <v>64077</v>
      </c>
      <c r="S204" s="68">
        <f t="shared" si="217"/>
        <v>64077</v>
      </c>
      <c r="T204" s="63"/>
      <c r="U204" s="385" t="s">
        <v>444</v>
      </c>
      <c r="V204" s="370">
        <v>64077</v>
      </c>
      <c r="W204" s="370">
        <v>0</v>
      </c>
      <c r="X204" s="370">
        <v>64077</v>
      </c>
      <c r="Y204" s="68">
        <f t="shared" si="218"/>
        <v>64077</v>
      </c>
      <c r="Z204" s="345"/>
      <c r="AA204" s="409"/>
      <c r="AB204" s="403"/>
      <c r="AC204" s="403"/>
      <c r="AD204" s="403"/>
      <c r="AE204" s="68">
        <f t="shared" si="219"/>
        <v>0</v>
      </c>
      <c r="AF204" s="366">
        <v>2021</v>
      </c>
      <c r="AG204" s="358"/>
      <c r="AH204" s="359">
        <v>55327.835169706923</v>
      </c>
      <c r="AI204" s="360"/>
      <c r="AJ204" s="360"/>
      <c r="AK204" s="360" t="str">
        <f t="shared" si="220"/>
        <v/>
      </c>
      <c r="AL204" s="18"/>
      <c r="AM204" s="360" t="str">
        <f t="shared" si="221"/>
        <v>2</v>
      </c>
      <c r="AN204" s="360" t="str">
        <f t="shared" si="222"/>
        <v>1</v>
      </c>
      <c r="AO204" s="360"/>
      <c r="AP204" s="346" t="str">
        <f t="shared" si="223"/>
        <v>1</v>
      </c>
      <c r="AQ204" s="360" t="str">
        <f t="shared" si="224"/>
        <v>2.1..1</v>
      </c>
      <c r="AR204" s="530"/>
      <c r="AS204" s="360"/>
      <c r="AT204" s="362"/>
      <c r="AU204" s="362"/>
      <c r="AV204" s="362"/>
      <c r="AW204" s="362"/>
      <c r="AX204" s="362"/>
      <c r="AY204" s="362"/>
      <c r="AZ204" s="362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</row>
    <row r="205" spans="1:68" ht="20.25" customHeight="1">
      <c r="A205" s="100">
        <v>32</v>
      </c>
      <c r="B205" s="100" t="s">
        <v>46</v>
      </c>
      <c r="C205" s="100" t="s">
        <v>2056</v>
      </c>
      <c r="D205" s="102" t="s">
        <v>445</v>
      </c>
      <c r="E205" s="100" t="str">
        <f t="shared" si="0"/>
        <v>Sama</v>
      </c>
      <c r="F205" s="63">
        <f t="shared" si="214"/>
        <v>188</v>
      </c>
      <c r="G205" s="63">
        <v>26</v>
      </c>
      <c r="H205" s="62" t="s">
        <v>46</v>
      </c>
      <c r="I205" s="62" t="s">
        <v>445</v>
      </c>
      <c r="J205" s="66">
        <v>31166.802586330381</v>
      </c>
      <c r="K205" s="533" t="s">
        <v>104</v>
      </c>
      <c r="L205" s="68">
        <f t="shared" si="234"/>
        <v>30069</v>
      </c>
      <c r="M205" s="63"/>
      <c r="N205" s="392">
        <f t="shared" si="216"/>
        <v>2018</v>
      </c>
      <c r="O205" s="382" t="s">
        <v>1382</v>
      </c>
      <c r="P205" s="68">
        <v>30069</v>
      </c>
      <c r="Q205" s="68">
        <v>0</v>
      </c>
      <c r="R205" s="68">
        <v>30069</v>
      </c>
      <c r="S205" s="68">
        <f t="shared" si="217"/>
        <v>30069</v>
      </c>
      <c r="T205" s="63"/>
      <c r="U205" s="347" t="s">
        <v>161</v>
      </c>
      <c r="V205" s="370"/>
      <c r="W205" s="370"/>
      <c r="X205" s="370"/>
      <c r="Y205" s="68">
        <f t="shared" si="218"/>
        <v>0</v>
      </c>
      <c r="Z205" s="345"/>
      <c r="AA205" s="411"/>
      <c r="AB205" s="403"/>
      <c r="AC205" s="403"/>
      <c r="AD205" s="403"/>
      <c r="AE205" s="68">
        <f t="shared" si="219"/>
        <v>0</v>
      </c>
      <c r="AF205" s="366">
        <v>2023</v>
      </c>
      <c r="AG205" s="358" t="s">
        <v>1160</v>
      </c>
      <c r="AH205" s="359">
        <v>28858.062464596067</v>
      </c>
      <c r="AI205" s="360"/>
      <c r="AJ205" s="360"/>
      <c r="AK205" s="360" t="str">
        <f t="shared" si="220"/>
        <v/>
      </c>
      <c r="AL205" s="18"/>
      <c r="AM205" s="360" t="str">
        <f t="shared" si="221"/>
        <v>2</v>
      </c>
      <c r="AN205" s="360" t="str">
        <f t="shared" si="222"/>
        <v>1</v>
      </c>
      <c r="AO205" s="360"/>
      <c r="AP205" s="346" t="str">
        <f t="shared" si="223"/>
        <v>2</v>
      </c>
      <c r="AQ205" s="360" t="str">
        <f t="shared" si="224"/>
        <v>2.1..2</v>
      </c>
      <c r="AR205" s="530"/>
      <c r="AS205" s="347"/>
      <c r="AT205" s="362"/>
      <c r="AU205" s="362"/>
      <c r="AV205" s="362"/>
      <c r="AW205" s="362"/>
      <c r="AX205" s="362"/>
      <c r="AY205" s="362"/>
      <c r="AZ205" s="362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</row>
    <row r="206" spans="1:68" ht="20.25" customHeight="1">
      <c r="A206" s="100">
        <v>32</v>
      </c>
      <c r="B206" s="100" t="s">
        <v>46</v>
      </c>
      <c r="C206" s="100" t="s">
        <v>2057</v>
      </c>
      <c r="D206" s="102" t="s">
        <v>447</v>
      </c>
      <c r="E206" s="100" t="str">
        <f t="shared" si="0"/>
        <v>Sama</v>
      </c>
      <c r="F206" s="63">
        <f t="shared" si="214"/>
        <v>189</v>
      </c>
      <c r="G206" s="63">
        <v>27</v>
      </c>
      <c r="H206" s="62" t="s">
        <v>46</v>
      </c>
      <c r="I206" s="62" t="s">
        <v>447</v>
      </c>
      <c r="J206" s="66">
        <v>45178.452436232699</v>
      </c>
      <c r="K206" s="533" t="s">
        <v>91</v>
      </c>
      <c r="L206" s="68">
        <f>AE206</f>
        <v>40346</v>
      </c>
      <c r="M206" s="63"/>
      <c r="N206" s="392">
        <f t="shared" si="216"/>
        <v>2012</v>
      </c>
      <c r="O206" s="382" t="s">
        <v>588</v>
      </c>
      <c r="P206" s="68">
        <v>49556</v>
      </c>
      <c r="Q206" s="68">
        <v>0</v>
      </c>
      <c r="R206" s="68">
        <v>49556</v>
      </c>
      <c r="S206" s="68">
        <f t="shared" si="217"/>
        <v>49556</v>
      </c>
      <c r="T206" s="63"/>
      <c r="U206" s="385" t="s">
        <v>1384</v>
      </c>
      <c r="V206" s="370">
        <v>0</v>
      </c>
      <c r="W206" s="370">
        <v>0</v>
      </c>
      <c r="X206" s="370">
        <v>0</v>
      </c>
      <c r="Y206" s="68">
        <f t="shared" si="218"/>
        <v>0</v>
      </c>
      <c r="Z206" s="345" t="s">
        <v>1076</v>
      </c>
      <c r="AA206" s="546" t="s">
        <v>448</v>
      </c>
      <c r="AB206" s="403">
        <v>38808</v>
      </c>
      <c r="AC206" s="404">
        <v>1538</v>
      </c>
      <c r="AD206" s="403">
        <f>SUM(AB206:AC206)</f>
        <v>40346</v>
      </c>
      <c r="AE206" s="68">
        <f t="shared" si="219"/>
        <v>40346</v>
      </c>
      <c r="AF206" s="364">
        <v>2021</v>
      </c>
      <c r="AG206" s="344"/>
      <c r="AH206" s="84">
        <v>46026.662189673101</v>
      </c>
      <c r="AI206" s="63"/>
      <c r="AJ206" s="63"/>
      <c r="AK206" s="63" t="str">
        <f t="shared" si="220"/>
        <v>V</v>
      </c>
      <c r="AL206" s="47"/>
      <c r="AM206" s="63" t="str">
        <f t="shared" si="221"/>
        <v>2</v>
      </c>
      <c r="AN206" s="63" t="str">
        <f t="shared" si="222"/>
        <v>1</v>
      </c>
      <c r="AO206" s="63"/>
      <c r="AP206" s="346" t="str">
        <f t="shared" si="223"/>
        <v>1</v>
      </c>
      <c r="AQ206" s="63" t="str">
        <f t="shared" si="224"/>
        <v>2.1..1</v>
      </c>
      <c r="AR206" s="534"/>
      <c r="AS206" s="64" t="s">
        <v>448</v>
      </c>
      <c r="AT206" s="95">
        <v>45178.45</v>
      </c>
      <c r="AU206" s="95">
        <v>40346</v>
      </c>
      <c r="AV206" s="371">
        <f>AU206/AT206</f>
        <v>0.89303639235077792</v>
      </c>
      <c r="AW206" s="95">
        <v>36791</v>
      </c>
      <c r="AX206" s="371"/>
      <c r="AY206" s="95">
        <v>8387</v>
      </c>
      <c r="AZ206" s="371"/>
      <c r="BA206" s="47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</row>
    <row r="207" spans="1:68" ht="20.25" customHeight="1">
      <c r="A207" s="100">
        <v>33</v>
      </c>
      <c r="B207" s="100" t="s">
        <v>47</v>
      </c>
      <c r="C207" s="100">
        <v>33</v>
      </c>
      <c r="D207" s="102" t="s">
        <v>2058</v>
      </c>
      <c r="E207" s="100" t="str">
        <f t="shared" si="0"/>
        <v>Sama</v>
      </c>
      <c r="F207" s="63"/>
      <c r="G207" s="342"/>
      <c r="H207" s="379"/>
      <c r="I207" s="379" t="s">
        <v>2058</v>
      </c>
      <c r="J207" s="380">
        <f>SUM(J208:J236)</f>
        <v>1044592.2982999929</v>
      </c>
      <c r="K207" s="353">
        <f>COUNTIF(K208:K242,"D") + COUNTIF(K208:K242,"DS")</f>
        <v>35</v>
      </c>
      <c r="L207" s="383">
        <f>SUBTOTAL(9,L208:L242)</f>
        <v>971448.39999999991</v>
      </c>
      <c r="M207" s="342"/>
      <c r="N207" s="355"/>
      <c r="O207" s="356"/>
      <c r="P207" s="383">
        <f t="shared" ref="P207:Y207" si="235">SUBTOTAL(9,P208:P236)</f>
        <v>707346</v>
      </c>
      <c r="Q207" s="383">
        <f t="shared" si="235"/>
        <v>12003</v>
      </c>
      <c r="R207" s="383">
        <f t="shared" si="235"/>
        <v>981672</v>
      </c>
      <c r="S207" s="383">
        <f t="shared" si="235"/>
        <v>981672</v>
      </c>
      <c r="T207" s="383">
        <f t="shared" si="235"/>
        <v>0</v>
      </c>
      <c r="U207" s="406">
        <f t="shared" si="235"/>
        <v>0</v>
      </c>
      <c r="V207" s="383">
        <f t="shared" si="235"/>
        <v>131824.36499999999</v>
      </c>
      <c r="W207" s="383">
        <f t="shared" si="235"/>
        <v>2284</v>
      </c>
      <c r="X207" s="383">
        <f t="shared" si="235"/>
        <v>62209.990000000005</v>
      </c>
      <c r="Y207" s="383">
        <f t="shared" si="235"/>
        <v>134158.36499999999</v>
      </c>
      <c r="Z207" s="354">
        <v>12</v>
      </c>
      <c r="AA207" s="406">
        <v>12</v>
      </c>
      <c r="AB207" s="354">
        <f t="shared" ref="AB207:AE207" si="236">SUBTOTAL(9,AB208:AB236)</f>
        <v>358922.39</v>
      </c>
      <c r="AC207" s="354">
        <f t="shared" si="236"/>
        <v>28608.010000000002</v>
      </c>
      <c r="AD207" s="354">
        <f t="shared" si="236"/>
        <v>123871.38</v>
      </c>
      <c r="AE207" s="383">
        <f t="shared" si="236"/>
        <v>376638.4</v>
      </c>
      <c r="AF207" s="357" t="s">
        <v>1138</v>
      </c>
      <c r="AG207" s="358"/>
      <c r="AH207" s="359">
        <f>SUM(AH208:AH236)</f>
        <v>1014307.7281078066</v>
      </c>
      <c r="AI207" s="360"/>
      <c r="AJ207" s="360"/>
      <c r="AK207" s="361">
        <f>COUNTIF(AK208:AK242,"V") + COUNTIF(AK208:AK242,"VV") + COUNTIF(AK208:AK242,"VVV")</f>
        <v>32</v>
      </c>
      <c r="AL207" s="18"/>
      <c r="AM207" s="360"/>
      <c r="AN207" s="360"/>
      <c r="AO207" s="360"/>
      <c r="AP207" s="346"/>
      <c r="AQ207" s="360"/>
      <c r="AR207" s="530"/>
      <c r="AS207" s="360"/>
      <c r="AT207" s="362"/>
      <c r="AU207" s="362"/>
      <c r="AV207" s="362"/>
      <c r="AW207" s="362"/>
      <c r="AX207" s="362"/>
      <c r="AY207" s="362"/>
      <c r="AZ207" s="362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</row>
    <row r="208" spans="1:68" ht="20.25" customHeight="1">
      <c r="A208" s="100">
        <v>33</v>
      </c>
      <c r="B208" s="100" t="s">
        <v>47</v>
      </c>
      <c r="C208" s="363" t="s">
        <v>2059</v>
      </c>
      <c r="D208" s="102" t="s">
        <v>449</v>
      </c>
      <c r="E208" s="100" t="str">
        <f t="shared" si="0"/>
        <v>Sama</v>
      </c>
      <c r="F208" s="63">
        <f t="shared" ref="F208:F242" si="237">SUBTOTAL(3,$G$7:G208)</f>
        <v>190</v>
      </c>
      <c r="G208" s="63">
        <v>1</v>
      </c>
      <c r="H208" s="62" t="s">
        <v>47</v>
      </c>
      <c r="I208" s="62" t="s">
        <v>449</v>
      </c>
      <c r="J208" s="66">
        <v>12101.499887402359</v>
      </c>
      <c r="K208" s="533" t="s">
        <v>91</v>
      </c>
      <c r="L208" s="68">
        <f t="shared" ref="L208:L209" si="238">AE208</f>
        <v>13672</v>
      </c>
      <c r="M208" s="63"/>
      <c r="N208" s="392">
        <f t="shared" ref="N208:N242" si="239">VALUE(RIGHT(O208,4))</f>
        <v>2011</v>
      </c>
      <c r="O208" s="382" t="s">
        <v>1321</v>
      </c>
      <c r="P208" s="68">
        <v>12147</v>
      </c>
      <c r="Q208" s="68">
        <v>0</v>
      </c>
      <c r="R208" s="68">
        <v>12147</v>
      </c>
      <c r="S208" s="68">
        <f t="shared" ref="S208:S242" si="240">IF(R208&gt;0,R208,IF(P208&gt;0,P208,0))</f>
        <v>12147</v>
      </c>
      <c r="T208" s="63"/>
      <c r="U208" s="385" t="s">
        <v>1387</v>
      </c>
      <c r="V208" s="370">
        <v>0</v>
      </c>
      <c r="W208" s="370">
        <v>0</v>
      </c>
      <c r="X208" s="370">
        <v>0</v>
      </c>
      <c r="Y208" s="68">
        <f t="shared" ref="Y208:Y242" si="241">IF(X208&gt;0,X208,IF(V208&gt;0,V208,0))</f>
        <v>0</v>
      </c>
      <c r="Z208" s="345" t="s">
        <v>1076</v>
      </c>
      <c r="AA208" s="541" t="s">
        <v>450</v>
      </c>
      <c r="AB208" s="345">
        <v>9827.4699999999993</v>
      </c>
      <c r="AC208" s="345">
        <v>3844.53</v>
      </c>
      <c r="AD208" s="345">
        <v>13672</v>
      </c>
      <c r="AE208" s="68">
        <f t="shared" ref="AE208:AE232" si="242">IF(AD208&gt;0,AD208,IF(AB208&gt;0,AB208,0))</f>
        <v>13672</v>
      </c>
      <c r="AF208" s="364">
        <v>2021</v>
      </c>
      <c r="AG208" s="344"/>
      <c r="AH208" s="84">
        <v>11696.841646720281</v>
      </c>
      <c r="AI208" s="63"/>
      <c r="AJ208" s="63"/>
      <c r="AK208" s="63" t="str">
        <f t="shared" ref="AK208:AK242" si="243">CONCATENATE(M208,T208,Z208)</f>
        <v>V</v>
      </c>
      <c r="AL208" s="47"/>
      <c r="AM208" s="63" t="str">
        <f t="shared" ref="AM208:AM242" si="244">IF(N208=0,"3",IF(N208&lt;=2018,"2","1"))</f>
        <v>2</v>
      </c>
      <c r="AN208" s="63" t="str">
        <f t="shared" ref="AN208:AN242" si="245">IF(S208&gt;0,"1","2")</f>
        <v>1</v>
      </c>
      <c r="AO208" s="63"/>
      <c r="AP208" s="346" t="str">
        <f t="shared" ref="AP208:AP242" si="246">IF(Y208&gt;0,"1",IF(AE208&gt;0,"1","2"))</f>
        <v>1</v>
      </c>
      <c r="AQ208" s="63" t="str">
        <f t="shared" ref="AQ208:AQ242" si="247">CONCATENATE(AM208,".",AN208,".",AO208,".",AP208)</f>
        <v>2.1..1</v>
      </c>
      <c r="AR208" s="534"/>
      <c r="AS208" s="64" t="s">
        <v>2060</v>
      </c>
      <c r="AT208" s="95">
        <v>12101.5</v>
      </c>
      <c r="AU208" s="95">
        <v>13672</v>
      </c>
      <c r="AV208" s="371">
        <f t="shared" ref="AV208:AV216" si="248">AU208/AT208</f>
        <v>1.1297773003346692</v>
      </c>
      <c r="AW208" s="95">
        <v>9438</v>
      </c>
      <c r="AX208" s="371"/>
      <c r="AY208" s="95">
        <v>2664</v>
      </c>
      <c r="AZ208" s="371"/>
      <c r="BA208" s="47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</row>
    <row r="209" spans="1:68" ht="20.25" customHeight="1">
      <c r="A209" s="100">
        <v>33</v>
      </c>
      <c r="B209" s="100" t="s">
        <v>47</v>
      </c>
      <c r="C209" s="100" t="s">
        <v>2061</v>
      </c>
      <c r="D209" s="102" t="s">
        <v>451</v>
      </c>
      <c r="E209" s="100" t="str">
        <f t="shared" si="0"/>
        <v>Sama</v>
      </c>
      <c r="F209" s="63">
        <f t="shared" si="237"/>
        <v>191</v>
      </c>
      <c r="G209" s="63">
        <v>2</v>
      </c>
      <c r="H209" s="62" t="s">
        <v>47</v>
      </c>
      <c r="I209" s="62" t="s">
        <v>451</v>
      </c>
      <c r="J209" s="66">
        <v>30896.313923130165</v>
      </c>
      <c r="K209" s="533" t="s">
        <v>91</v>
      </c>
      <c r="L209" s="68">
        <f t="shared" si="238"/>
        <v>25472.240000000002</v>
      </c>
      <c r="M209" s="63"/>
      <c r="N209" s="392">
        <f t="shared" si="239"/>
        <v>2011</v>
      </c>
      <c r="O209" s="382" t="s">
        <v>1389</v>
      </c>
      <c r="P209" s="68">
        <v>36616</v>
      </c>
      <c r="Q209" s="68">
        <v>0</v>
      </c>
      <c r="R209" s="68">
        <v>36616</v>
      </c>
      <c r="S209" s="68">
        <f t="shared" si="240"/>
        <v>36616</v>
      </c>
      <c r="T209" s="63"/>
      <c r="U209" s="347"/>
      <c r="V209" s="370"/>
      <c r="W209" s="370"/>
      <c r="X209" s="370"/>
      <c r="Y209" s="68">
        <f t="shared" si="241"/>
        <v>0</v>
      </c>
      <c r="Z209" s="345" t="s">
        <v>1076</v>
      </c>
      <c r="AA209" s="376" t="s">
        <v>452</v>
      </c>
      <c r="AB209" s="345">
        <v>20840.509999999998</v>
      </c>
      <c r="AC209" s="413">
        <v>4631.7299999999996</v>
      </c>
      <c r="AD209" s="345">
        <v>25472.240000000002</v>
      </c>
      <c r="AE209" s="68">
        <f t="shared" si="242"/>
        <v>25472.240000000002</v>
      </c>
      <c r="AF209" s="364">
        <v>2022</v>
      </c>
      <c r="AG209" s="344"/>
      <c r="AH209" s="84">
        <v>30316.843332592845</v>
      </c>
      <c r="AI209" s="63"/>
      <c r="AJ209" s="63"/>
      <c r="AK209" s="63" t="str">
        <f t="shared" si="243"/>
        <v>V</v>
      </c>
      <c r="AL209" s="47"/>
      <c r="AM209" s="63" t="str">
        <f t="shared" si="244"/>
        <v>2</v>
      </c>
      <c r="AN209" s="63" t="str">
        <f t="shared" si="245"/>
        <v>1</v>
      </c>
      <c r="AO209" s="63"/>
      <c r="AP209" s="346" t="str">
        <f t="shared" si="246"/>
        <v>1</v>
      </c>
      <c r="AQ209" s="63" t="str">
        <f t="shared" si="247"/>
        <v>2.1..1</v>
      </c>
      <c r="AR209" s="534"/>
      <c r="AS209" s="64" t="s">
        <v>2062</v>
      </c>
      <c r="AT209" s="95">
        <v>30896.31</v>
      </c>
      <c r="AU209" s="95">
        <v>25472.240000000002</v>
      </c>
      <c r="AV209" s="371">
        <f t="shared" si="248"/>
        <v>0.82444278944637728</v>
      </c>
      <c r="AW209" s="95">
        <v>25160.01</v>
      </c>
      <c r="AX209" s="371">
        <f t="shared" ref="AX209:AX216" si="249">AW209/AT209</f>
        <v>0.81433705190037253</v>
      </c>
      <c r="AY209" s="95">
        <v>5736.3</v>
      </c>
      <c r="AZ209" s="371">
        <f t="shared" ref="AZ209:AZ216" si="250">AY209/AT209</f>
        <v>0.18566294809962744</v>
      </c>
      <c r="BA209" s="47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</row>
    <row r="210" spans="1:68" ht="20.25" customHeight="1">
      <c r="A210" s="100">
        <v>33</v>
      </c>
      <c r="B210" s="100" t="s">
        <v>47</v>
      </c>
      <c r="C210" s="100" t="s">
        <v>2063</v>
      </c>
      <c r="D210" s="102" t="s">
        <v>453</v>
      </c>
      <c r="E210" s="100" t="str">
        <f t="shared" si="0"/>
        <v>Sama</v>
      </c>
      <c r="F210" s="63">
        <f t="shared" si="237"/>
        <v>192</v>
      </c>
      <c r="G210" s="63">
        <v>3</v>
      </c>
      <c r="H210" s="62" t="s">
        <v>47</v>
      </c>
      <c r="I210" s="62" t="s">
        <v>453</v>
      </c>
      <c r="J210" s="66">
        <v>18304.490890100722</v>
      </c>
      <c r="K210" s="533" t="s">
        <v>91</v>
      </c>
      <c r="L210" s="68">
        <f t="shared" ref="L210:L218" si="251">IF(S210&gt;0,S210,IF(Y210&gt;0,Y210,IF(AE210&gt;0,AE210,0)))</f>
        <v>26394</v>
      </c>
      <c r="M210" s="63" t="s">
        <v>1076</v>
      </c>
      <c r="N210" s="365">
        <f t="shared" si="239"/>
        <v>2019</v>
      </c>
      <c r="O210" s="347" t="s">
        <v>454</v>
      </c>
      <c r="P210" s="370">
        <v>16675</v>
      </c>
      <c r="Q210" s="370">
        <v>9719</v>
      </c>
      <c r="R210" s="370">
        <v>26394</v>
      </c>
      <c r="S210" s="68">
        <f t="shared" si="240"/>
        <v>26394</v>
      </c>
      <c r="T210" s="63"/>
      <c r="U210" s="347"/>
      <c r="V210" s="370"/>
      <c r="W210" s="370"/>
      <c r="X210" s="370"/>
      <c r="Y210" s="68">
        <f t="shared" si="241"/>
        <v>0</v>
      </c>
      <c r="Z210" s="345"/>
      <c r="AA210" s="347"/>
      <c r="AB210" s="345"/>
      <c r="AC210" s="345"/>
      <c r="AD210" s="345"/>
      <c r="AE210" s="68">
        <f t="shared" si="242"/>
        <v>0</v>
      </c>
      <c r="AF210" s="366">
        <v>2020</v>
      </c>
      <c r="AG210" s="358"/>
      <c r="AH210" s="359">
        <v>17064.665323548827</v>
      </c>
      <c r="AI210" s="360"/>
      <c r="AJ210" s="360"/>
      <c r="AK210" s="360" t="str">
        <f t="shared" si="243"/>
        <v>V</v>
      </c>
      <c r="AL210" s="18"/>
      <c r="AM210" s="360" t="str">
        <f t="shared" si="244"/>
        <v>1</v>
      </c>
      <c r="AN210" s="360" t="str">
        <f t="shared" si="245"/>
        <v>1</v>
      </c>
      <c r="AO210" s="360"/>
      <c r="AP210" s="346" t="str">
        <f t="shared" si="246"/>
        <v>2</v>
      </c>
      <c r="AQ210" s="360" t="str">
        <f t="shared" si="247"/>
        <v>1.1..2</v>
      </c>
      <c r="AR210" s="530"/>
      <c r="AS210" s="362" t="s">
        <v>2064</v>
      </c>
      <c r="AT210" s="367">
        <v>18304</v>
      </c>
      <c r="AU210" s="367">
        <v>26405</v>
      </c>
      <c r="AV210" s="368">
        <f t="shared" si="248"/>
        <v>1.4425808566433567</v>
      </c>
      <c r="AW210" s="367">
        <v>16491</v>
      </c>
      <c r="AX210" s="368">
        <f t="shared" si="249"/>
        <v>0.90095061188811187</v>
      </c>
      <c r="AY210" s="367">
        <v>1813</v>
      </c>
      <c r="AZ210" s="368">
        <f t="shared" si="250"/>
        <v>9.9049388111888112E-2</v>
      </c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</row>
    <row r="211" spans="1:68" ht="20.25" customHeight="1">
      <c r="A211" s="100">
        <v>33</v>
      </c>
      <c r="B211" s="100" t="s">
        <v>47</v>
      </c>
      <c r="C211" s="100" t="s">
        <v>2065</v>
      </c>
      <c r="D211" s="102" t="s">
        <v>455</v>
      </c>
      <c r="E211" s="100" t="str">
        <f t="shared" si="0"/>
        <v>Sama</v>
      </c>
      <c r="F211" s="63">
        <f t="shared" si="237"/>
        <v>193</v>
      </c>
      <c r="G211" s="63">
        <v>4</v>
      </c>
      <c r="H211" s="62" t="s">
        <v>47</v>
      </c>
      <c r="I211" s="62" t="s">
        <v>455</v>
      </c>
      <c r="J211" s="66">
        <v>69760.015452482301</v>
      </c>
      <c r="K211" s="533" t="s">
        <v>91</v>
      </c>
      <c r="L211" s="68">
        <f t="shared" si="251"/>
        <v>65755</v>
      </c>
      <c r="M211" s="63" t="s">
        <v>1076</v>
      </c>
      <c r="N211" s="365">
        <f t="shared" si="239"/>
        <v>2021</v>
      </c>
      <c r="O211" s="347" t="s">
        <v>304</v>
      </c>
      <c r="P211" s="370">
        <v>48967</v>
      </c>
      <c r="Q211" s="370">
        <v>0</v>
      </c>
      <c r="R211" s="370">
        <v>65755</v>
      </c>
      <c r="S211" s="68">
        <f t="shared" si="240"/>
        <v>65755</v>
      </c>
      <c r="T211" s="63"/>
      <c r="U211" s="347"/>
      <c r="V211" s="370"/>
      <c r="W211" s="370"/>
      <c r="X211" s="370"/>
      <c r="Y211" s="68">
        <f t="shared" si="241"/>
        <v>0</v>
      </c>
      <c r="Z211" s="345"/>
      <c r="AA211" s="347"/>
      <c r="AB211" s="345"/>
      <c r="AC211" s="345"/>
      <c r="AD211" s="345"/>
      <c r="AE211" s="68">
        <f t="shared" si="242"/>
        <v>0</v>
      </c>
      <c r="AF211" s="366">
        <v>2020</v>
      </c>
      <c r="AG211" s="358"/>
      <c r="AH211" s="359">
        <v>68985.719995509891</v>
      </c>
      <c r="AI211" s="360"/>
      <c r="AJ211" s="360"/>
      <c r="AK211" s="360" t="str">
        <f t="shared" si="243"/>
        <v>V</v>
      </c>
      <c r="AL211" s="18"/>
      <c r="AM211" s="360" t="str">
        <f t="shared" si="244"/>
        <v>1</v>
      </c>
      <c r="AN211" s="360" t="str">
        <f t="shared" si="245"/>
        <v>1</v>
      </c>
      <c r="AO211" s="360"/>
      <c r="AP211" s="346" t="str">
        <f t="shared" si="246"/>
        <v>2</v>
      </c>
      <c r="AQ211" s="360" t="str">
        <f t="shared" si="247"/>
        <v>1.1..2</v>
      </c>
      <c r="AR211" s="530"/>
      <c r="AS211" s="362" t="s">
        <v>304</v>
      </c>
      <c r="AT211" s="367">
        <v>69760</v>
      </c>
      <c r="AU211" s="367">
        <v>65725</v>
      </c>
      <c r="AV211" s="368">
        <f t="shared" si="248"/>
        <v>0.9421588302752294</v>
      </c>
      <c r="AW211" s="367">
        <v>52939</v>
      </c>
      <c r="AX211" s="368">
        <f t="shared" si="249"/>
        <v>0.75887327981651376</v>
      </c>
      <c r="AY211" s="367">
        <v>16821</v>
      </c>
      <c r="AZ211" s="368">
        <f t="shared" si="250"/>
        <v>0.24112672018348624</v>
      </c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</row>
    <row r="212" spans="1:68" ht="20.25" customHeight="1">
      <c r="A212" s="100">
        <v>33</v>
      </c>
      <c r="B212" s="100" t="s">
        <v>47</v>
      </c>
      <c r="C212" s="100" t="s">
        <v>2066</v>
      </c>
      <c r="D212" s="102" t="s">
        <v>456</v>
      </c>
      <c r="E212" s="100" t="str">
        <f t="shared" si="0"/>
        <v>Sama</v>
      </c>
      <c r="F212" s="63">
        <f t="shared" si="237"/>
        <v>194</v>
      </c>
      <c r="G212" s="63">
        <v>5</v>
      </c>
      <c r="H212" s="62" t="s">
        <v>47</v>
      </c>
      <c r="I212" s="62" t="s">
        <v>456</v>
      </c>
      <c r="J212" s="66">
        <v>27521.694127675477</v>
      </c>
      <c r="K212" s="533" t="s">
        <v>91</v>
      </c>
      <c r="L212" s="68">
        <f t="shared" si="251"/>
        <v>20694</v>
      </c>
      <c r="M212" s="63" t="s">
        <v>1076</v>
      </c>
      <c r="N212" s="365">
        <f t="shared" si="239"/>
        <v>2019</v>
      </c>
      <c r="O212" s="347" t="s">
        <v>331</v>
      </c>
      <c r="P212" s="370"/>
      <c r="Q212" s="370">
        <v>0</v>
      </c>
      <c r="R212" s="370">
        <v>20694</v>
      </c>
      <c r="S212" s="68">
        <f t="shared" si="240"/>
        <v>20694</v>
      </c>
      <c r="T212" s="63"/>
      <c r="U212" s="385" t="s">
        <v>1393</v>
      </c>
      <c r="V212" s="370">
        <v>16500.990000000002</v>
      </c>
      <c r="W212" s="370">
        <v>0</v>
      </c>
      <c r="X212" s="370">
        <v>16500.990000000002</v>
      </c>
      <c r="Y212" s="68">
        <f t="shared" si="241"/>
        <v>16500.990000000002</v>
      </c>
      <c r="Z212" s="345"/>
      <c r="AA212" s="385"/>
      <c r="AB212" s="345"/>
      <c r="AC212" s="345"/>
      <c r="AD212" s="345"/>
      <c r="AE212" s="68">
        <f t="shared" si="242"/>
        <v>0</v>
      </c>
      <c r="AF212" s="366">
        <v>2020</v>
      </c>
      <c r="AG212" s="358"/>
      <c r="AH212" s="359">
        <v>26237.825679063742</v>
      </c>
      <c r="AI212" s="360"/>
      <c r="AJ212" s="360"/>
      <c r="AK212" s="360" t="str">
        <f t="shared" si="243"/>
        <v>V</v>
      </c>
      <c r="AL212" s="18"/>
      <c r="AM212" s="360" t="str">
        <f t="shared" si="244"/>
        <v>1</v>
      </c>
      <c r="AN212" s="360" t="str">
        <f t="shared" si="245"/>
        <v>1</v>
      </c>
      <c r="AO212" s="360"/>
      <c r="AP212" s="346" t="str">
        <f t="shared" si="246"/>
        <v>1</v>
      </c>
      <c r="AQ212" s="360" t="str">
        <f t="shared" si="247"/>
        <v>1.1..1</v>
      </c>
      <c r="AR212" s="530"/>
      <c r="AS212" s="362" t="s">
        <v>331</v>
      </c>
      <c r="AT212" s="367">
        <v>27522</v>
      </c>
      <c r="AU212" s="367">
        <v>36806</v>
      </c>
      <c r="AV212" s="368">
        <f t="shared" si="248"/>
        <v>1.337330135891287</v>
      </c>
      <c r="AW212" s="367">
        <v>19888</v>
      </c>
      <c r="AX212" s="368">
        <f t="shared" si="249"/>
        <v>0.72262190247801761</v>
      </c>
      <c r="AY212" s="367">
        <v>7634</v>
      </c>
      <c r="AZ212" s="368">
        <f t="shared" si="250"/>
        <v>0.27737809752198239</v>
      </c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</row>
    <row r="213" spans="1:68" ht="20.25" customHeight="1">
      <c r="A213" s="100">
        <v>33</v>
      </c>
      <c r="B213" s="100" t="s">
        <v>47</v>
      </c>
      <c r="C213" s="100" t="s">
        <v>2067</v>
      </c>
      <c r="D213" s="102" t="s">
        <v>457</v>
      </c>
      <c r="E213" s="100" t="str">
        <f t="shared" si="0"/>
        <v>Sama</v>
      </c>
      <c r="F213" s="63">
        <f t="shared" si="237"/>
        <v>195</v>
      </c>
      <c r="G213" s="63">
        <v>6</v>
      </c>
      <c r="H213" s="62" t="s">
        <v>47</v>
      </c>
      <c r="I213" s="62" t="s">
        <v>457</v>
      </c>
      <c r="J213" s="66">
        <v>65108.001738484294</v>
      </c>
      <c r="K213" s="533" t="s">
        <v>91</v>
      </c>
      <c r="L213" s="68">
        <f t="shared" si="251"/>
        <v>67856</v>
      </c>
      <c r="M213" s="63" t="s">
        <v>1076</v>
      </c>
      <c r="N213" s="365">
        <f t="shared" si="239"/>
        <v>2019</v>
      </c>
      <c r="O213" s="347" t="s">
        <v>454</v>
      </c>
      <c r="P213" s="370">
        <v>67856</v>
      </c>
      <c r="Q213" s="370">
        <v>0</v>
      </c>
      <c r="R213" s="370">
        <v>67856</v>
      </c>
      <c r="S213" s="68">
        <f t="shared" si="240"/>
        <v>67856</v>
      </c>
      <c r="T213" s="63"/>
      <c r="U213" s="347"/>
      <c r="V213" s="370"/>
      <c r="W213" s="370"/>
      <c r="X213" s="370"/>
      <c r="Y213" s="68">
        <f t="shared" si="241"/>
        <v>0</v>
      </c>
      <c r="Z213" s="345"/>
      <c r="AA213" s="347"/>
      <c r="AB213" s="345"/>
      <c r="AC213" s="345"/>
      <c r="AD213" s="345"/>
      <c r="AE213" s="68">
        <f t="shared" si="242"/>
        <v>0</v>
      </c>
      <c r="AF213" s="366">
        <v>2020</v>
      </c>
      <c r="AG213" s="358"/>
      <c r="AH213" s="359">
        <v>64414.280486128067</v>
      </c>
      <c r="AI213" s="360"/>
      <c r="AJ213" s="360"/>
      <c r="AK213" s="360" t="str">
        <f t="shared" si="243"/>
        <v>V</v>
      </c>
      <c r="AL213" s="18"/>
      <c r="AM213" s="360" t="str">
        <f t="shared" si="244"/>
        <v>1</v>
      </c>
      <c r="AN213" s="360" t="str">
        <f t="shared" si="245"/>
        <v>1</v>
      </c>
      <c r="AO213" s="360"/>
      <c r="AP213" s="346" t="str">
        <f t="shared" si="246"/>
        <v>2</v>
      </c>
      <c r="AQ213" s="360" t="str">
        <f t="shared" si="247"/>
        <v>1.1..2</v>
      </c>
      <c r="AR213" s="530"/>
      <c r="AS213" s="362" t="s">
        <v>2064</v>
      </c>
      <c r="AT213" s="367">
        <v>65108</v>
      </c>
      <c r="AU213" s="367">
        <v>67303</v>
      </c>
      <c r="AV213" s="368">
        <f t="shared" si="248"/>
        <v>1.0337132149659027</v>
      </c>
      <c r="AW213" s="367">
        <v>52430</v>
      </c>
      <c r="AX213" s="368">
        <f t="shared" si="249"/>
        <v>0.80527738526755543</v>
      </c>
      <c r="AY213" s="367">
        <v>12678</v>
      </c>
      <c r="AZ213" s="368">
        <f t="shared" si="250"/>
        <v>0.19472261473244457</v>
      </c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</row>
    <row r="214" spans="1:68" ht="20.25" customHeight="1">
      <c r="A214" s="100">
        <v>33</v>
      </c>
      <c r="B214" s="100" t="s">
        <v>47</v>
      </c>
      <c r="C214" s="100" t="s">
        <v>2068</v>
      </c>
      <c r="D214" s="102" t="s">
        <v>458</v>
      </c>
      <c r="E214" s="100" t="str">
        <f t="shared" si="0"/>
        <v>Sama</v>
      </c>
      <c r="F214" s="63">
        <f t="shared" si="237"/>
        <v>196</v>
      </c>
      <c r="G214" s="63">
        <v>7</v>
      </c>
      <c r="H214" s="62" t="s">
        <v>47</v>
      </c>
      <c r="I214" s="62" t="s">
        <v>458</v>
      </c>
      <c r="J214" s="66">
        <v>66526.662719224652</v>
      </c>
      <c r="K214" s="533" t="s">
        <v>91</v>
      </c>
      <c r="L214" s="68">
        <f t="shared" si="251"/>
        <v>58913</v>
      </c>
      <c r="M214" s="63" t="s">
        <v>1076</v>
      </c>
      <c r="N214" s="365">
        <f t="shared" si="239"/>
        <v>2021</v>
      </c>
      <c r="O214" s="347" t="s">
        <v>149</v>
      </c>
      <c r="P214" s="370">
        <v>53031</v>
      </c>
      <c r="Q214" s="370">
        <v>0</v>
      </c>
      <c r="R214" s="370">
        <v>58913</v>
      </c>
      <c r="S214" s="68">
        <f t="shared" si="240"/>
        <v>58913</v>
      </c>
      <c r="T214" s="63"/>
      <c r="U214" s="385"/>
      <c r="V214" s="370"/>
      <c r="W214" s="370"/>
      <c r="X214" s="370"/>
      <c r="Y214" s="68">
        <f t="shared" si="241"/>
        <v>0</v>
      </c>
      <c r="Z214" s="345" t="s">
        <v>1076</v>
      </c>
      <c r="AA214" s="541" t="s">
        <v>1396</v>
      </c>
      <c r="AB214" s="345">
        <v>53031</v>
      </c>
      <c r="AC214" s="345">
        <v>5882</v>
      </c>
      <c r="AD214" s="345"/>
      <c r="AE214" s="68">
        <f t="shared" si="242"/>
        <v>53031</v>
      </c>
      <c r="AF214" s="366" t="s">
        <v>1265</v>
      </c>
      <c r="AG214" s="358"/>
      <c r="AH214" s="359">
        <v>65720.106411840417</v>
      </c>
      <c r="AI214" s="360"/>
      <c r="AJ214" s="360"/>
      <c r="AK214" s="360" t="str">
        <f t="shared" si="243"/>
        <v>VV</v>
      </c>
      <c r="AL214" s="18"/>
      <c r="AM214" s="360" t="str">
        <f t="shared" si="244"/>
        <v>1</v>
      </c>
      <c r="AN214" s="360" t="str">
        <f t="shared" si="245"/>
        <v>1</v>
      </c>
      <c r="AO214" s="360"/>
      <c r="AP214" s="346" t="str">
        <f t="shared" si="246"/>
        <v>1</v>
      </c>
      <c r="AQ214" s="360" t="str">
        <f t="shared" si="247"/>
        <v>1.1..1</v>
      </c>
      <c r="AR214" s="530"/>
      <c r="AS214" s="362" t="s">
        <v>149</v>
      </c>
      <c r="AT214" s="367">
        <v>66527</v>
      </c>
      <c r="AU214" s="367">
        <v>53080</v>
      </c>
      <c r="AV214" s="368">
        <f t="shared" si="248"/>
        <v>0.79787154087813972</v>
      </c>
      <c r="AW214" s="367">
        <v>52960</v>
      </c>
      <c r="AX214" s="368">
        <f t="shared" si="249"/>
        <v>0.79606776196130891</v>
      </c>
      <c r="AY214" s="367">
        <v>13567</v>
      </c>
      <c r="AZ214" s="368">
        <f t="shared" si="250"/>
        <v>0.20393223803869107</v>
      </c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</row>
    <row r="215" spans="1:68" ht="20.25" customHeight="1">
      <c r="A215" s="100">
        <v>33</v>
      </c>
      <c r="B215" s="100" t="s">
        <v>47</v>
      </c>
      <c r="C215" s="100" t="s">
        <v>2069</v>
      </c>
      <c r="D215" s="102" t="s">
        <v>459</v>
      </c>
      <c r="E215" s="100" t="str">
        <f t="shared" si="0"/>
        <v>Sama</v>
      </c>
      <c r="F215" s="63">
        <f t="shared" si="237"/>
        <v>197</v>
      </c>
      <c r="G215" s="63">
        <v>8</v>
      </c>
      <c r="H215" s="62" t="s">
        <v>47</v>
      </c>
      <c r="I215" s="62" t="s">
        <v>459</v>
      </c>
      <c r="J215" s="66">
        <v>59379.33971994579</v>
      </c>
      <c r="K215" s="533" t="s">
        <v>91</v>
      </c>
      <c r="L215" s="68">
        <f t="shared" si="251"/>
        <v>56530</v>
      </c>
      <c r="M215" s="63" t="s">
        <v>1076</v>
      </c>
      <c r="N215" s="365">
        <f t="shared" si="239"/>
        <v>2020</v>
      </c>
      <c r="O215" s="347" t="s">
        <v>262</v>
      </c>
      <c r="P215" s="370">
        <v>55520</v>
      </c>
      <c r="Q215" s="370">
        <v>0</v>
      </c>
      <c r="R215" s="370">
        <v>56530</v>
      </c>
      <c r="S215" s="68">
        <f t="shared" si="240"/>
        <v>56530</v>
      </c>
      <c r="T215" s="63"/>
      <c r="U215" s="385"/>
      <c r="V215" s="370"/>
      <c r="W215" s="370"/>
      <c r="X215" s="370"/>
      <c r="Y215" s="68">
        <f t="shared" si="241"/>
        <v>0</v>
      </c>
      <c r="Z215" s="345" t="s">
        <v>1076</v>
      </c>
      <c r="AA215" s="541" t="s">
        <v>1398</v>
      </c>
      <c r="AB215" s="345">
        <v>55520</v>
      </c>
      <c r="AC215" s="345">
        <v>1010</v>
      </c>
      <c r="AD215" s="345"/>
      <c r="AE215" s="68">
        <f t="shared" si="242"/>
        <v>55520</v>
      </c>
      <c r="AF215" s="366" t="s">
        <v>1265</v>
      </c>
      <c r="AG215" s="358"/>
      <c r="AH215" s="359">
        <v>56182.993034164741</v>
      </c>
      <c r="AI215" s="360"/>
      <c r="AJ215" s="360"/>
      <c r="AK215" s="360" t="str">
        <f t="shared" si="243"/>
        <v>VV</v>
      </c>
      <c r="AL215" s="18"/>
      <c r="AM215" s="360" t="str">
        <f t="shared" si="244"/>
        <v>1</v>
      </c>
      <c r="AN215" s="360" t="str">
        <f t="shared" si="245"/>
        <v>1</v>
      </c>
      <c r="AO215" s="360"/>
      <c r="AP215" s="346" t="str">
        <f t="shared" si="246"/>
        <v>1</v>
      </c>
      <c r="AQ215" s="360" t="str">
        <f t="shared" si="247"/>
        <v>1.1..1</v>
      </c>
      <c r="AR215" s="530"/>
      <c r="AS215" s="362" t="s">
        <v>262</v>
      </c>
      <c r="AT215" s="367">
        <v>59379</v>
      </c>
      <c r="AU215" s="367">
        <v>56573</v>
      </c>
      <c r="AV215" s="368">
        <f t="shared" si="248"/>
        <v>0.95274423617777326</v>
      </c>
      <c r="AW215" s="367">
        <v>53792</v>
      </c>
      <c r="AX215" s="368">
        <f t="shared" si="249"/>
        <v>0.90590949662338538</v>
      </c>
      <c r="AY215" s="367">
        <v>5587</v>
      </c>
      <c r="AZ215" s="368">
        <f t="shared" si="250"/>
        <v>9.4090503376614634E-2</v>
      </c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</row>
    <row r="216" spans="1:68" ht="20.25" customHeight="1">
      <c r="A216" s="100">
        <v>33</v>
      </c>
      <c r="B216" s="100" t="s">
        <v>47</v>
      </c>
      <c r="C216" s="100" t="s">
        <v>2070</v>
      </c>
      <c r="D216" s="102" t="s">
        <v>460</v>
      </c>
      <c r="E216" s="100" t="str">
        <f t="shared" si="0"/>
        <v>Sama</v>
      </c>
      <c r="F216" s="63">
        <f t="shared" si="237"/>
        <v>198</v>
      </c>
      <c r="G216" s="63">
        <v>9</v>
      </c>
      <c r="H216" s="62" t="s">
        <v>47</v>
      </c>
      <c r="I216" s="62" t="s">
        <v>460</v>
      </c>
      <c r="J216" s="66">
        <v>90776.136106103586</v>
      </c>
      <c r="K216" s="533" t="s">
        <v>91</v>
      </c>
      <c r="L216" s="68">
        <f t="shared" si="251"/>
        <v>71949</v>
      </c>
      <c r="M216" s="63" t="s">
        <v>1076</v>
      </c>
      <c r="N216" s="392">
        <f t="shared" si="239"/>
        <v>2021</v>
      </c>
      <c r="O216" s="382" t="s">
        <v>461</v>
      </c>
      <c r="P216" s="68"/>
      <c r="Q216" s="68">
        <v>0</v>
      </c>
      <c r="R216" s="68">
        <v>71949</v>
      </c>
      <c r="S216" s="68">
        <f t="shared" si="240"/>
        <v>71949</v>
      </c>
      <c r="T216" s="63"/>
      <c r="U216" s="385" t="s">
        <v>1400</v>
      </c>
      <c r="V216" s="370">
        <v>71948.375</v>
      </c>
      <c r="W216" s="370">
        <v>0</v>
      </c>
      <c r="X216" s="370">
        <v>0</v>
      </c>
      <c r="Y216" s="68">
        <f t="shared" si="241"/>
        <v>71948.375</v>
      </c>
      <c r="Z216" s="345" t="s">
        <v>1076</v>
      </c>
      <c r="AA216" s="541" t="s">
        <v>1401</v>
      </c>
      <c r="AB216" s="345"/>
      <c r="AC216" s="345"/>
      <c r="AD216" s="345"/>
      <c r="AE216" s="68">
        <f t="shared" si="242"/>
        <v>0</v>
      </c>
      <c r="AF216" s="366" t="s">
        <v>1265</v>
      </c>
      <c r="AG216" s="358"/>
      <c r="AH216" s="359">
        <v>87730.073758049795</v>
      </c>
      <c r="AI216" s="360"/>
      <c r="AJ216" s="360"/>
      <c r="AK216" s="360" t="str">
        <f t="shared" si="243"/>
        <v>VV</v>
      </c>
      <c r="AL216" s="18"/>
      <c r="AM216" s="360" t="str">
        <f t="shared" si="244"/>
        <v>1</v>
      </c>
      <c r="AN216" s="360" t="str">
        <f t="shared" si="245"/>
        <v>1</v>
      </c>
      <c r="AO216" s="360"/>
      <c r="AP216" s="346" t="str">
        <f t="shared" si="246"/>
        <v>1</v>
      </c>
      <c r="AQ216" s="360" t="str">
        <f t="shared" si="247"/>
        <v>1.1..1</v>
      </c>
      <c r="AR216" s="530"/>
      <c r="AS216" s="362" t="s">
        <v>461</v>
      </c>
      <c r="AT216" s="367">
        <v>90776</v>
      </c>
      <c r="AU216" s="367">
        <v>71949</v>
      </c>
      <c r="AV216" s="368">
        <f t="shared" si="248"/>
        <v>0.79259936547104959</v>
      </c>
      <c r="AW216" s="367">
        <v>65956</v>
      </c>
      <c r="AX216" s="368">
        <f t="shared" si="249"/>
        <v>0.72657971269939192</v>
      </c>
      <c r="AY216" s="367">
        <v>24820</v>
      </c>
      <c r="AZ216" s="368">
        <f t="shared" si="250"/>
        <v>0.27342028730060808</v>
      </c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</row>
    <row r="217" spans="1:68" ht="20.25" customHeight="1">
      <c r="A217" s="100">
        <v>33</v>
      </c>
      <c r="B217" s="100" t="s">
        <v>47</v>
      </c>
      <c r="C217" s="100" t="s">
        <v>2071</v>
      </c>
      <c r="D217" s="102" t="s">
        <v>462</v>
      </c>
      <c r="E217" s="100" t="str">
        <f t="shared" si="0"/>
        <v>Sama</v>
      </c>
      <c r="F217" s="63">
        <f t="shared" si="237"/>
        <v>199</v>
      </c>
      <c r="G217" s="63">
        <v>10</v>
      </c>
      <c r="H217" s="62" t="s">
        <v>47</v>
      </c>
      <c r="I217" s="62" t="s">
        <v>462</v>
      </c>
      <c r="J217" s="66">
        <v>26409.936588185781</v>
      </c>
      <c r="K217" s="533" t="s">
        <v>104</v>
      </c>
      <c r="L217" s="68">
        <f t="shared" si="251"/>
        <v>0</v>
      </c>
      <c r="M217" s="345">
        <f>J217+J239+J241</f>
        <v>27113.938136393372</v>
      </c>
      <c r="N217" s="392">
        <f t="shared" si="239"/>
        <v>2011</v>
      </c>
      <c r="O217" s="382" t="s">
        <v>932</v>
      </c>
      <c r="P217" s="68"/>
      <c r="Q217" s="68"/>
      <c r="R217" s="68"/>
      <c r="S217" s="68">
        <f t="shared" si="240"/>
        <v>0</v>
      </c>
      <c r="T217" s="63"/>
      <c r="U217" s="531" t="s">
        <v>1403</v>
      </c>
      <c r="V217" s="370">
        <v>0</v>
      </c>
      <c r="W217" s="370">
        <v>0</v>
      </c>
      <c r="X217" s="370">
        <v>0</v>
      </c>
      <c r="Y217" s="68">
        <f t="shared" si="241"/>
        <v>0</v>
      </c>
      <c r="Z217" s="345"/>
      <c r="AA217" s="347"/>
      <c r="AB217" s="345"/>
      <c r="AC217" s="345"/>
      <c r="AD217" s="345"/>
      <c r="AE217" s="68">
        <f t="shared" si="242"/>
        <v>0</v>
      </c>
      <c r="AF217" s="366">
        <v>2022</v>
      </c>
      <c r="AG217" s="358"/>
      <c r="AH217" s="359">
        <v>24652.87803272247</v>
      </c>
      <c r="AI217" s="360"/>
      <c r="AJ217" s="360"/>
      <c r="AK217" s="360" t="str">
        <f t="shared" si="243"/>
        <v>27113,9381363934</v>
      </c>
      <c r="AL217" s="18"/>
      <c r="AM217" s="360" t="str">
        <f t="shared" si="244"/>
        <v>2</v>
      </c>
      <c r="AN217" s="360" t="str">
        <f t="shared" si="245"/>
        <v>2</v>
      </c>
      <c r="AO217" s="360"/>
      <c r="AP217" s="346" t="str">
        <f t="shared" si="246"/>
        <v>2</v>
      </c>
      <c r="AQ217" s="360" t="str">
        <f t="shared" si="247"/>
        <v>2.2..2</v>
      </c>
      <c r="AR217" s="530"/>
      <c r="AS217" s="360"/>
      <c r="AT217" s="362"/>
      <c r="AU217" s="362"/>
      <c r="AV217" s="362"/>
      <c r="AW217" s="362"/>
      <c r="AX217" s="362"/>
      <c r="AY217" s="362"/>
      <c r="AZ217" s="362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</row>
    <row r="218" spans="1:68" ht="20.25" customHeight="1">
      <c r="A218" s="100">
        <v>33</v>
      </c>
      <c r="B218" s="100" t="s">
        <v>47</v>
      </c>
      <c r="C218" s="100" t="s">
        <v>2072</v>
      </c>
      <c r="D218" s="102" t="s">
        <v>464</v>
      </c>
      <c r="E218" s="100" t="str">
        <f t="shared" si="0"/>
        <v>Sama</v>
      </c>
      <c r="F218" s="63">
        <f t="shared" si="237"/>
        <v>200</v>
      </c>
      <c r="G218" s="63">
        <v>11</v>
      </c>
      <c r="H218" s="62" t="s">
        <v>47</v>
      </c>
      <c r="I218" s="62" t="s">
        <v>464</v>
      </c>
      <c r="J218" s="66">
        <v>22268.698337961141</v>
      </c>
      <c r="K218" s="533" t="s">
        <v>91</v>
      </c>
      <c r="L218" s="68">
        <f t="shared" si="251"/>
        <v>23618</v>
      </c>
      <c r="M218" s="63" t="s">
        <v>1076</v>
      </c>
      <c r="N218" s="365">
        <f t="shared" si="239"/>
        <v>2019</v>
      </c>
      <c r="O218" s="347" t="s">
        <v>465</v>
      </c>
      <c r="P218" s="370">
        <v>23618</v>
      </c>
      <c r="Q218" s="370">
        <v>0</v>
      </c>
      <c r="R218" s="370">
        <v>23618</v>
      </c>
      <c r="S218" s="68">
        <f t="shared" si="240"/>
        <v>23618</v>
      </c>
      <c r="T218" s="63"/>
      <c r="U218" s="347"/>
      <c r="V218" s="370"/>
      <c r="W218" s="370"/>
      <c r="X218" s="370"/>
      <c r="Y218" s="68">
        <f t="shared" si="241"/>
        <v>0</v>
      </c>
      <c r="Z218" s="345"/>
      <c r="AA218" s="347"/>
      <c r="AB218" s="345"/>
      <c r="AC218" s="345"/>
      <c r="AD218" s="345"/>
      <c r="AE218" s="68">
        <f t="shared" si="242"/>
        <v>0</v>
      </c>
      <c r="AF218" s="366">
        <v>2020</v>
      </c>
      <c r="AG218" s="358"/>
      <c r="AH218" s="359">
        <v>21782.81314124633</v>
      </c>
      <c r="AI218" s="360"/>
      <c r="AJ218" s="360"/>
      <c r="AK218" s="360" t="str">
        <f t="shared" si="243"/>
        <v>V</v>
      </c>
      <c r="AL218" s="18"/>
      <c r="AM218" s="360" t="str">
        <f t="shared" si="244"/>
        <v>1</v>
      </c>
      <c r="AN218" s="360" t="str">
        <f t="shared" si="245"/>
        <v>1</v>
      </c>
      <c r="AO218" s="360"/>
      <c r="AP218" s="346" t="str">
        <f t="shared" si="246"/>
        <v>2</v>
      </c>
      <c r="AQ218" s="360" t="str">
        <f t="shared" si="247"/>
        <v>1.1..2</v>
      </c>
      <c r="AR218" s="530"/>
      <c r="AS218" s="362" t="s">
        <v>465</v>
      </c>
      <c r="AT218" s="367">
        <v>22269</v>
      </c>
      <c r="AU218" s="367">
        <v>25417</v>
      </c>
      <c r="AV218" s="368">
        <f t="shared" ref="AV218:AV238" si="252">AU218/AT218</f>
        <v>1.1413624320804705</v>
      </c>
      <c r="AW218" s="367">
        <v>15565</v>
      </c>
      <c r="AX218" s="368">
        <f t="shared" ref="AX218:AX222" si="253">AW218/AT218</f>
        <v>0.69895370245632937</v>
      </c>
      <c r="AY218" s="367">
        <v>6704</v>
      </c>
      <c r="AZ218" s="368">
        <f t="shared" ref="AZ218:AZ222" si="254">AY218/AT218</f>
        <v>0.30104629754367057</v>
      </c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</row>
    <row r="219" spans="1:68" ht="20.25" customHeight="1">
      <c r="A219" s="100">
        <v>33</v>
      </c>
      <c r="B219" s="100" t="s">
        <v>47</v>
      </c>
      <c r="C219" s="100" t="s">
        <v>2073</v>
      </c>
      <c r="D219" s="102" t="s">
        <v>466</v>
      </c>
      <c r="E219" s="100" t="str">
        <f t="shared" si="0"/>
        <v>Sama</v>
      </c>
      <c r="F219" s="63">
        <f t="shared" si="237"/>
        <v>201</v>
      </c>
      <c r="G219" s="63">
        <v>12</v>
      </c>
      <c r="H219" s="62" t="s">
        <v>47</v>
      </c>
      <c r="I219" s="62" t="s">
        <v>466</v>
      </c>
      <c r="J219" s="66">
        <v>44085.109809824826</v>
      </c>
      <c r="K219" s="533" t="s">
        <v>91</v>
      </c>
      <c r="L219" s="68">
        <f>AD219</f>
        <v>43154.14</v>
      </c>
      <c r="M219" s="63"/>
      <c r="N219" s="392">
        <f t="shared" si="239"/>
        <v>2012</v>
      </c>
      <c r="O219" s="382" t="s">
        <v>1406</v>
      </c>
      <c r="P219" s="68">
        <v>44986</v>
      </c>
      <c r="Q219" s="68">
        <v>0</v>
      </c>
      <c r="R219" s="68">
        <v>44986</v>
      </c>
      <c r="S219" s="68">
        <f t="shared" si="240"/>
        <v>44986</v>
      </c>
      <c r="T219" s="63"/>
      <c r="U219" s="347"/>
      <c r="V219" s="370"/>
      <c r="W219" s="370"/>
      <c r="X219" s="370"/>
      <c r="Y219" s="68">
        <f t="shared" si="241"/>
        <v>0</v>
      </c>
      <c r="Z219" s="345" t="s">
        <v>1076</v>
      </c>
      <c r="AA219" s="531" t="s">
        <v>467</v>
      </c>
      <c r="AB219" s="345">
        <v>39399.39</v>
      </c>
      <c r="AC219" s="345">
        <v>3754.75</v>
      </c>
      <c r="AD219" s="345">
        <v>43154.14</v>
      </c>
      <c r="AE219" s="68">
        <f t="shared" si="242"/>
        <v>43154.14</v>
      </c>
      <c r="AF219" s="364">
        <v>2022</v>
      </c>
      <c r="AG219" s="344"/>
      <c r="AH219" s="84">
        <v>43267.440030875761</v>
      </c>
      <c r="AI219" s="63"/>
      <c r="AJ219" s="63"/>
      <c r="AK219" s="63" t="str">
        <f t="shared" si="243"/>
        <v>V</v>
      </c>
      <c r="AL219" s="47"/>
      <c r="AM219" s="63" t="str">
        <f t="shared" si="244"/>
        <v>2</v>
      </c>
      <c r="AN219" s="63" t="str">
        <f t="shared" si="245"/>
        <v>1</v>
      </c>
      <c r="AO219" s="63"/>
      <c r="AP219" s="346" t="str">
        <f t="shared" si="246"/>
        <v>1</v>
      </c>
      <c r="AQ219" s="63" t="str">
        <f t="shared" si="247"/>
        <v>2.1..1</v>
      </c>
      <c r="AR219" s="534"/>
      <c r="AS219" s="64" t="s">
        <v>2074</v>
      </c>
      <c r="AT219" s="95">
        <v>44085.11</v>
      </c>
      <c r="AU219" s="95">
        <v>43154.14</v>
      </c>
      <c r="AV219" s="371">
        <f t="shared" si="252"/>
        <v>0.97888243899130567</v>
      </c>
      <c r="AW219" s="95">
        <v>41427.31</v>
      </c>
      <c r="AX219" s="371">
        <f t="shared" si="253"/>
        <v>0.93971207058346906</v>
      </c>
      <c r="AY219" s="95">
        <v>2657.79</v>
      </c>
      <c r="AZ219" s="371">
        <f t="shared" si="254"/>
        <v>6.0287702582572662E-2</v>
      </c>
      <c r="BA219" s="47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</row>
    <row r="220" spans="1:68" ht="20.25" customHeight="1">
      <c r="A220" s="100">
        <v>33</v>
      </c>
      <c r="B220" s="100" t="s">
        <v>47</v>
      </c>
      <c r="C220" s="100" t="s">
        <v>2075</v>
      </c>
      <c r="D220" s="102" t="s">
        <v>468</v>
      </c>
      <c r="E220" s="100" t="str">
        <f t="shared" si="0"/>
        <v>Sama</v>
      </c>
      <c r="F220" s="63">
        <f t="shared" si="237"/>
        <v>202</v>
      </c>
      <c r="G220" s="63">
        <v>13</v>
      </c>
      <c r="H220" s="62" t="s">
        <v>47</v>
      </c>
      <c r="I220" s="62" t="s">
        <v>468</v>
      </c>
      <c r="J220" s="66">
        <v>24334.791728148804</v>
      </c>
      <c r="K220" s="533" t="s">
        <v>91</v>
      </c>
      <c r="L220" s="68">
        <f t="shared" ref="L220:L222" si="255">IF(S220&gt;0,S220,IF(Y220&gt;0,Y220,IF(AE220&gt;0,AE220,0)))</f>
        <v>25000</v>
      </c>
      <c r="M220" s="63" t="s">
        <v>1076</v>
      </c>
      <c r="N220" s="365">
        <f t="shared" si="239"/>
        <v>2020</v>
      </c>
      <c r="O220" s="347" t="s">
        <v>262</v>
      </c>
      <c r="P220" s="370">
        <v>22666</v>
      </c>
      <c r="Q220" s="370">
        <v>2284</v>
      </c>
      <c r="R220" s="370">
        <v>25000</v>
      </c>
      <c r="S220" s="68">
        <f t="shared" si="240"/>
        <v>25000</v>
      </c>
      <c r="T220" s="63"/>
      <c r="U220" s="385" t="s">
        <v>1408</v>
      </c>
      <c r="V220" s="370">
        <v>22666</v>
      </c>
      <c r="W220" s="370">
        <v>2284</v>
      </c>
      <c r="X220" s="370">
        <v>25000</v>
      </c>
      <c r="Y220" s="68">
        <f t="shared" si="241"/>
        <v>25000</v>
      </c>
      <c r="Z220" s="345"/>
      <c r="AA220" s="385"/>
      <c r="AB220" s="345"/>
      <c r="AC220" s="345"/>
      <c r="AD220" s="345"/>
      <c r="AE220" s="68">
        <f t="shared" si="242"/>
        <v>0</v>
      </c>
      <c r="AF220" s="366">
        <v>2020</v>
      </c>
      <c r="AG220" s="358"/>
      <c r="AH220" s="359">
        <v>22922.273732272868</v>
      </c>
      <c r="AI220" s="360"/>
      <c r="AJ220" s="360"/>
      <c r="AK220" s="360" t="str">
        <f t="shared" si="243"/>
        <v>V</v>
      </c>
      <c r="AL220" s="18"/>
      <c r="AM220" s="360" t="str">
        <f t="shared" si="244"/>
        <v>1</v>
      </c>
      <c r="AN220" s="360" t="str">
        <f t="shared" si="245"/>
        <v>1</v>
      </c>
      <c r="AO220" s="360"/>
      <c r="AP220" s="346" t="str">
        <f t="shared" si="246"/>
        <v>1</v>
      </c>
      <c r="AQ220" s="360" t="str">
        <f t="shared" si="247"/>
        <v>1.1..1</v>
      </c>
      <c r="AR220" s="530"/>
      <c r="AS220" s="362" t="s">
        <v>262</v>
      </c>
      <c r="AT220" s="367">
        <v>24335</v>
      </c>
      <c r="AU220" s="367">
        <v>23410</v>
      </c>
      <c r="AV220" s="368">
        <f t="shared" si="252"/>
        <v>0.96198890486952948</v>
      </c>
      <c r="AW220" s="367">
        <v>20134</v>
      </c>
      <c r="AX220" s="368">
        <f t="shared" si="253"/>
        <v>0.82736798849393878</v>
      </c>
      <c r="AY220" s="367">
        <v>4201</v>
      </c>
      <c r="AZ220" s="368">
        <f t="shared" si="254"/>
        <v>0.17263201150606122</v>
      </c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</row>
    <row r="221" spans="1:68" ht="20.25" customHeight="1">
      <c r="A221" s="100">
        <v>33</v>
      </c>
      <c r="B221" s="100" t="s">
        <v>47</v>
      </c>
      <c r="C221" s="100" t="s">
        <v>2076</v>
      </c>
      <c r="D221" s="102" t="s">
        <v>469</v>
      </c>
      <c r="E221" s="100" t="str">
        <f t="shared" si="0"/>
        <v>Sama</v>
      </c>
      <c r="F221" s="63">
        <f t="shared" si="237"/>
        <v>203</v>
      </c>
      <c r="G221" s="63">
        <v>14</v>
      </c>
      <c r="H221" s="62" t="s">
        <v>47</v>
      </c>
      <c r="I221" s="62" t="s">
        <v>469</v>
      </c>
      <c r="J221" s="66">
        <v>31705.462726412577</v>
      </c>
      <c r="K221" s="533" t="s">
        <v>91</v>
      </c>
      <c r="L221" s="68">
        <f t="shared" si="255"/>
        <v>32000</v>
      </c>
      <c r="M221" s="63" t="s">
        <v>1076</v>
      </c>
      <c r="N221" s="365">
        <f t="shared" si="239"/>
        <v>2021</v>
      </c>
      <c r="O221" s="347" t="s">
        <v>470</v>
      </c>
      <c r="P221" s="370"/>
      <c r="Q221" s="370">
        <v>0</v>
      </c>
      <c r="R221" s="370">
        <v>32000</v>
      </c>
      <c r="S221" s="68">
        <f t="shared" si="240"/>
        <v>32000</v>
      </c>
      <c r="T221" s="63"/>
      <c r="U221" s="347"/>
      <c r="V221" s="370"/>
      <c r="W221" s="370"/>
      <c r="X221" s="370"/>
      <c r="Y221" s="68">
        <f t="shared" si="241"/>
        <v>0</v>
      </c>
      <c r="Z221" s="345"/>
      <c r="AA221" s="347"/>
      <c r="AB221" s="345"/>
      <c r="AC221" s="345"/>
      <c r="AD221" s="345"/>
      <c r="AE221" s="68">
        <f t="shared" si="242"/>
        <v>0</v>
      </c>
      <c r="AF221" s="366">
        <v>2020</v>
      </c>
      <c r="AG221" s="358"/>
      <c r="AH221" s="359">
        <v>30276.982025758411</v>
      </c>
      <c r="AI221" s="360"/>
      <c r="AJ221" s="360"/>
      <c r="AK221" s="360" t="str">
        <f t="shared" si="243"/>
        <v>V</v>
      </c>
      <c r="AL221" s="18"/>
      <c r="AM221" s="360" t="str">
        <f t="shared" si="244"/>
        <v>1</v>
      </c>
      <c r="AN221" s="360" t="str">
        <f t="shared" si="245"/>
        <v>1</v>
      </c>
      <c r="AO221" s="360"/>
      <c r="AP221" s="346" t="str">
        <f t="shared" si="246"/>
        <v>2</v>
      </c>
      <c r="AQ221" s="360" t="str">
        <f t="shared" si="247"/>
        <v>1.1..2</v>
      </c>
      <c r="AR221" s="530"/>
      <c r="AS221" s="362" t="s">
        <v>2077</v>
      </c>
      <c r="AT221" s="367">
        <v>31705</v>
      </c>
      <c r="AU221" s="367">
        <v>32000</v>
      </c>
      <c r="AV221" s="368">
        <f t="shared" si="252"/>
        <v>1.0093045260999842</v>
      </c>
      <c r="AW221" s="367">
        <v>25590</v>
      </c>
      <c r="AX221" s="368">
        <f t="shared" si="253"/>
        <v>0.80712821321558115</v>
      </c>
      <c r="AY221" s="367">
        <v>6116</v>
      </c>
      <c r="AZ221" s="368">
        <f t="shared" si="254"/>
        <v>0.19290332755085948</v>
      </c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</row>
    <row r="222" spans="1:68" ht="20.25" customHeight="1">
      <c r="A222" s="100">
        <v>33</v>
      </c>
      <c r="B222" s="100" t="s">
        <v>47</v>
      </c>
      <c r="C222" s="100" t="s">
        <v>2078</v>
      </c>
      <c r="D222" s="102" t="s">
        <v>471</v>
      </c>
      <c r="E222" s="100" t="str">
        <f t="shared" si="0"/>
        <v>Sama</v>
      </c>
      <c r="F222" s="63">
        <f t="shared" si="237"/>
        <v>204</v>
      </c>
      <c r="G222" s="63">
        <v>21</v>
      </c>
      <c r="H222" s="62" t="s">
        <v>47</v>
      </c>
      <c r="I222" s="62" t="s">
        <v>471</v>
      </c>
      <c r="J222" s="66">
        <v>19984.066232970941</v>
      </c>
      <c r="K222" s="533" t="s">
        <v>91</v>
      </c>
      <c r="L222" s="68">
        <f t="shared" si="255"/>
        <v>20005</v>
      </c>
      <c r="M222" s="63" t="s">
        <v>1076</v>
      </c>
      <c r="N222" s="392">
        <f t="shared" si="239"/>
        <v>2022</v>
      </c>
      <c r="O222" s="382" t="s">
        <v>159</v>
      </c>
      <c r="P222" s="68">
        <v>0</v>
      </c>
      <c r="Q222" s="68">
        <v>0</v>
      </c>
      <c r="R222" s="68">
        <v>20005</v>
      </c>
      <c r="S222" s="68">
        <f t="shared" si="240"/>
        <v>20005</v>
      </c>
      <c r="T222" s="63"/>
      <c r="U222" s="347"/>
      <c r="V222" s="370"/>
      <c r="W222" s="370"/>
      <c r="X222" s="370"/>
      <c r="Y222" s="68">
        <f t="shared" si="241"/>
        <v>0</v>
      </c>
      <c r="Z222" s="345"/>
      <c r="AA222" s="347"/>
      <c r="AB222" s="345"/>
      <c r="AC222" s="345"/>
      <c r="AD222" s="345"/>
      <c r="AE222" s="68">
        <f t="shared" si="242"/>
        <v>0</v>
      </c>
      <c r="AF222" s="364" t="s">
        <v>1177</v>
      </c>
      <c r="AG222" s="344"/>
      <c r="AH222" s="84">
        <v>19203.851911762951</v>
      </c>
      <c r="AI222" s="63"/>
      <c r="AJ222" s="63"/>
      <c r="AK222" s="63" t="str">
        <f t="shared" si="243"/>
        <v>V</v>
      </c>
      <c r="AL222" s="47"/>
      <c r="AM222" s="63" t="str">
        <f t="shared" si="244"/>
        <v>1</v>
      </c>
      <c r="AN222" s="63" t="str">
        <f t="shared" si="245"/>
        <v>1</v>
      </c>
      <c r="AO222" s="63"/>
      <c r="AP222" s="346" t="str">
        <f t="shared" si="246"/>
        <v>2</v>
      </c>
      <c r="AQ222" s="63" t="str">
        <f t="shared" si="247"/>
        <v>1.1..2</v>
      </c>
      <c r="AR222" s="534"/>
      <c r="AS222" s="347" t="str">
        <f>O222</f>
        <v>Perda No. 1 Tahun 2022</v>
      </c>
      <c r="AT222" s="95">
        <f>J222</f>
        <v>19984.066232970941</v>
      </c>
      <c r="AU222" s="95">
        <f>S222</f>
        <v>20005</v>
      </c>
      <c r="AV222" s="371">
        <f t="shared" si="252"/>
        <v>1.0010475229007458</v>
      </c>
      <c r="AW222" s="95">
        <v>15100.944998999999</v>
      </c>
      <c r="AX222" s="371">
        <f t="shared" si="253"/>
        <v>0.75564926691873813</v>
      </c>
      <c r="AY222" s="95"/>
      <c r="AZ222" s="371">
        <f t="shared" si="254"/>
        <v>0</v>
      </c>
      <c r="BA222" s="47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</row>
    <row r="223" spans="1:68" ht="20.25" customHeight="1">
      <c r="A223" s="100">
        <v>33</v>
      </c>
      <c r="B223" s="100" t="s">
        <v>47</v>
      </c>
      <c r="C223" s="100" t="s">
        <v>2079</v>
      </c>
      <c r="D223" s="102" t="s">
        <v>472</v>
      </c>
      <c r="E223" s="100" t="str">
        <f t="shared" si="0"/>
        <v>Sama</v>
      </c>
      <c r="F223" s="63">
        <f t="shared" si="237"/>
        <v>205</v>
      </c>
      <c r="G223" s="63">
        <v>22</v>
      </c>
      <c r="H223" s="62" t="s">
        <v>47</v>
      </c>
      <c r="I223" s="62" t="s">
        <v>472</v>
      </c>
      <c r="J223" s="66">
        <v>28690.964144130765</v>
      </c>
      <c r="K223" s="533" t="s">
        <v>91</v>
      </c>
      <c r="L223" s="68">
        <f>AE223</f>
        <v>25268.720000000001</v>
      </c>
      <c r="M223" s="63"/>
      <c r="N223" s="392">
        <f t="shared" si="239"/>
        <v>2011</v>
      </c>
      <c r="O223" s="382" t="s">
        <v>1420</v>
      </c>
      <c r="P223" s="68">
        <v>42070</v>
      </c>
      <c r="Q223" s="68">
        <v>0</v>
      </c>
      <c r="R223" s="68">
        <v>42070</v>
      </c>
      <c r="S223" s="68">
        <f t="shared" si="240"/>
        <v>42070</v>
      </c>
      <c r="T223" s="63"/>
      <c r="U223" s="385"/>
      <c r="V223" s="370"/>
      <c r="W223" s="370"/>
      <c r="X223" s="370"/>
      <c r="Y223" s="68">
        <f t="shared" si="241"/>
        <v>0</v>
      </c>
      <c r="Z223" s="345" t="s">
        <v>1076</v>
      </c>
      <c r="AA223" s="541" t="s">
        <v>473</v>
      </c>
      <c r="AB223" s="345">
        <v>25268.720000000001</v>
      </c>
      <c r="AC223" s="345"/>
      <c r="AD223" s="345"/>
      <c r="AE223" s="68">
        <f t="shared" si="242"/>
        <v>25268.720000000001</v>
      </c>
      <c r="AF223" s="364">
        <v>2021</v>
      </c>
      <c r="AG223" s="344"/>
      <c r="AH223" s="84">
        <v>28670.418337749845</v>
      </c>
      <c r="AI223" s="63"/>
      <c r="AJ223" s="63"/>
      <c r="AK223" s="63" t="str">
        <f t="shared" si="243"/>
        <v>V</v>
      </c>
      <c r="AL223" s="47"/>
      <c r="AM223" s="63" t="str">
        <f t="shared" si="244"/>
        <v>2</v>
      </c>
      <c r="AN223" s="63" t="str">
        <f t="shared" si="245"/>
        <v>1</v>
      </c>
      <c r="AO223" s="63"/>
      <c r="AP223" s="346" t="str">
        <f t="shared" si="246"/>
        <v>1</v>
      </c>
      <c r="AQ223" s="63" t="str">
        <f t="shared" si="247"/>
        <v>2.1..1</v>
      </c>
      <c r="AR223" s="534"/>
      <c r="AS223" s="64" t="s">
        <v>2080</v>
      </c>
      <c r="AT223" s="95">
        <v>28690.959999999999</v>
      </c>
      <c r="AU223" s="95">
        <v>25268.720000000001</v>
      </c>
      <c r="AV223" s="371">
        <f t="shared" si="252"/>
        <v>0.88072061722577433</v>
      </c>
      <c r="AW223" s="95">
        <v>25284</v>
      </c>
      <c r="AX223" s="371"/>
      <c r="AY223" s="95">
        <v>3407</v>
      </c>
      <c r="AZ223" s="371"/>
      <c r="BA223" s="47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</row>
    <row r="224" spans="1:68" ht="20.25" customHeight="1">
      <c r="A224" s="100">
        <v>33</v>
      </c>
      <c r="B224" s="100" t="s">
        <v>47</v>
      </c>
      <c r="C224" s="100" t="s">
        <v>2081</v>
      </c>
      <c r="D224" s="102" t="s">
        <v>474</v>
      </c>
      <c r="E224" s="100" t="str">
        <f t="shared" si="0"/>
        <v>Sama</v>
      </c>
      <c r="F224" s="63">
        <f t="shared" si="237"/>
        <v>206</v>
      </c>
      <c r="G224" s="63">
        <v>23</v>
      </c>
      <c r="H224" s="62" t="s">
        <v>47</v>
      </c>
      <c r="I224" s="62" t="s">
        <v>474</v>
      </c>
      <c r="J224" s="66">
        <v>59470.72187178921</v>
      </c>
      <c r="K224" s="533" t="s">
        <v>91</v>
      </c>
      <c r="L224" s="68">
        <f t="shared" ref="L224:L228" si="256">IF(S224&gt;0,S224,IF(Y224&gt;0,Y224,IF(AE224&gt;0,AE224,0)))</f>
        <v>56881</v>
      </c>
      <c r="M224" s="63" t="s">
        <v>1076</v>
      </c>
      <c r="N224" s="365">
        <f t="shared" si="239"/>
        <v>2021</v>
      </c>
      <c r="O224" s="347" t="s">
        <v>243</v>
      </c>
      <c r="P224" s="370">
        <v>2665</v>
      </c>
      <c r="Q224" s="370">
        <v>0</v>
      </c>
      <c r="R224" s="370">
        <v>56881</v>
      </c>
      <c r="S224" s="68">
        <f t="shared" si="240"/>
        <v>56881</v>
      </c>
      <c r="T224" s="63"/>
      <c r="U224" s="347"/>
      <c r="V224" s="370"/>
      <c r="W224" s="370"/>
      <c r="X224" s="370"/>
      <c r="Y224" s="68">
        <f t="shared" si="241"/>
        <v>0</v>
      </c>
      <c r="Z224" s="345"/>
      <c r="AA224" s="347"/>
      <c r="AB224" s="345"/>
      <c r="AC224" s="345"/>
      <c r="AD224" s="345"/>
      <c r="AE224" s="68">
        <f t="shared" si="242"/>
        <v>0</v>
      </c>
      <c r="AF224" s="366">
        <v>2020</v>
      </c>
      <c r="AG224" s="358"/>
      <c r="AH224" s="359">
        <v>58815.069139632193</v>
      </c>
      <c r="AI224" s="360"/>
      <c r="AJ224" s="360"/>
      <c r="AK224" s="360" t="str">
        <f t="shared" si="243"/>
        <v>V</v>
      </c>
      <c r="AL224" s="18"/>
      <c r="AM224" s="360" t="str">
        <f t="shared" si="244"/>
        <v>1</v>
      </c>
      <c r="AN224" s="360" t="str">
        <f t="shared" si="245"/>
        <v>1</v>
      </c>
      <c r="AO224" s="360"/>
      <c r="AP224" s="346" t="str">
        <f t="shared" si="246"/>
        <v>2</v>
      </c>
      <c r="AQ224" s="360" t="str">
        <f t="shared" si="247"/>
        <v>1.1..2</v>
      </c>
      <c r="AR224" s="530"/>
      <c r="AS224" s="362" t="s">
        <v>243</v>
      </c>
      <c r="AT224" s="367">
        <v>59471</v>
      </c>
      <c r="AU224" s="367">
        <v>56927</v>
      </c>
      <c r="AV224" s="368">
        <f t="shared" si="252"/>
        <v>0.9572228481108439</v>
      </c>
      <c r="AW224" s="367">
        <v>49514</v>
      </c>
      <c r="AX224" s="368">
        <f t="shared" ref="AX224:AX228" si="257">AW224/AT224</f>
        <v>0.83257385952817342</v>
      </c>
      <c r="AY224" s="367">
        <v>9956</v>
      </c>
      <c r="AZ224" s="368">
        <f t="shared" ref="AZ224:AZ228" si="258">AY224/AT224</f>
        <v>0.16740932555363119</v>
      </c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</row>
    <row r="225" spans="1:68" ht="20.25" customHeight="1">
      <c r="A225" s="100">
        <v>33</v>
      </c>
      <c r="B225" s="100" t="s">
        <v>47</v>
      </c>
      <c r="C225" s="100" t="s">
        <v>2082</v>
      </c>
      <c r="D225" s="102" t="s">
        <v>475</v>
      </c>
      <c r="E225" s="100" t="str">
        <f t="shared" si="0"/>
        <v>Sama</v>
      </c>
      <c r="F225" s="63">
        <f t="shared" si="237"/>
        <v>207</v>
      </c>
      <c r="G225" s="63">
        <v>24</v>
      </c>
      <c r="H225" s="62" t="s">
        <v>47</v>
      </c>
      <c r="I225" s="62" t="s">
        <v>475</v>
      </c>
      <c r="J225" s="66">
        <v>22431.444152461918</v>
      </c>
      <c r="K225" s="533" t="s">
        <v>91</v>
      </c>
      <c r="L225" s="68">
        <f t="shared" si="256"/>
        <v>22211</v>
      </c>
      <c r="M225" s="63" t="s">
        <v>1076</v>
      </c>
      <c r="N225" s="365">
        <f t="shared" si="239"/>
        <v>2020</v>
      </c>
      <c r="O225" s="347" t="s">
        <v>293</v>
      </c>
      <c r="P225" s="370">
        <v>19719</v>
      </c>
      <c r="Q225" s="370">
        <v>0</v>
      </c>
      <c r="R225" s="370">
        <v>22211</v>
      </c>
      <c r="S225" s="68">
        <f t="shared" si="240"/>
        <v>22211</v>
      </c>
      <c r="T225" s="63"/>
      <c r="U225" s="347"/>
      <c r="V225" s="370"/>
      <c r="W225" s="370"/>
      <c r="X225" s="370"/>
      <c r="Y225" s="68">
        <f t="shared" si="241"/>
        <v>0</v>
      </c>
      <c r="Z225" s="345"/>
      <c r="AA225" s="347"/>
      <c r="AB225" s="345"/>
      <c r="AC225" s="345"/>
      <c r="AD225" s="345"/>
      <c r="AE225" s="68">
        <f t="shared" si="242"/>
        <v>0</v>
      </c>
      <c r="AF225" s="366">
        <v>2020</v>
      </c>
      <c r="AG225" s="358"/>
      <c r="AH225" s="359">
        <v>20595.098251166364</v>
      </c>
      <c r="AI225" s="360"/>
      <c r="AJ225" s="360"/>
      <c r="AK225" s="360" t="str">
        <f t="shared" si="243"/>
        <v>V</v>
      </c>
      <c r="AL225" s="18"/>
      <c r="AM225" s="360" t="str">
        <f t="shared" si="244"/>
        <v>1</v>
      </c>
      <c r="AN225" s="360" t="str">
        <f t="shared" si="245"/>
        <v>1</v>
      </c>
      <c r="AO225" s="360"/>
      <c r="AP225" s="346" t="str">
        <f t="shared" si="246"/>
        <v>2</v>
      </c>
      <c r="AQ225" s="360" t="str">
        <f t="shared" si="247"/>
        <v>1.1..2</v>
      </c>
      <c r="AR225" s="530"/>
      <c r="AS225" s="362" t="s">
        <v>293</v>
      </c>
      <c r="AT225" s="367">
        <v>22431</v>
      </c>
      <c r="AU225" s="367">
        <v>22216</v>
      </c>
      <c r="AV225" s="368">
        <f t="shared" si="252"/>
        <v>0.99041505059961665</v>
      </c>
      <c r="AW225" s="367">
        <v>15310</v>
      </c>
      <c r="AX225" s="368">
        <f t="shared" si="257"/>
        <v>0.68253755962730145</v>
      </c>
      <c r="AY225" s="367">
        <v>7121</v>
      </c>
      <c r="AZ225" s="368">
        <f t="shared" si="258"/>
        <v>0.3174624403726985</v>
      </c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</row>
    <row r="226" spans="1:68" ht="20.25" customHeight="1">
      <c r="A226" s="100">
        <v>33</v>
      </c>
      <c r="B226" s="100" t="s">
        <v>47</v>
      </c>
      <c r="C226" s="100" t="s">
        <v>2083</v>
      </c>
      <c r="D226" s="102" t="s">
        <v>476</v>
      </c>
      <c r="E226" s="100" t="str">
        <f t="shared" si="0"/>
        <v>Sama</v>
      </c>
      <c r="F226" s="63">
        <f t="shared" si="237"/>
        <v>208</v>
      </c>
      <c r="G226" s="63">
        <v>25</v>
      </c>
      <c r="H226" s="62" t="s">
        <v>47</v>
      </c>
      <c r="I226" s="62" t="s">
        <v>476</v>
      </c>
      <c r="J226" s="66">
        <v>35527.564209068856</v>
      </c>
      <c r="K226" s="533" t="s">
        <v>91</v>
      </c>
      <c r="L226" s="68">
        <f t="shared" si="256"/>
        <v>34299</v>
      </c>
      <c r="M226" s="63" t="s">
        <v>1076</v>
      </c>
      <c r="N226" s="365">
        <f t="shared" si="239"/>
        <v>2018</v>
      </c>
      <c r="O226" s="347" t="s">
        <v>151</v>
      </c>
      <c r="P226" s="370">
        <v>30299</v>
      </c>
      <c r="Q226" s="370">
        <v>0</v>
      </c>
      <c r="R226" s="370">
        <v>34299</v>
      </c>
      <c r="S226" s="68">
        <f t="shared" si="240"/>
        <v>34299</v>
      </c>
      <c r="T226" s="63"/>
      <c r="U226" s="347"/>
      <c r="V226" s="370"/>
      <c r="W226" s="370"/>
      <c r="X226" s="370"/>
      <c r="Y226" s="68">
        <f t="shared" si="241"/>
        <v>0</v>
      </c>
      <c r="Z226" s="345" t="s">
        <v>1076</v>
      </c>
      <c r="AA226" s="531" t="s">
        <v>1424</v>
      </c>
      <c r="AB226" s="345">
        <v>30299</v>
      </c>
      <c r="AC226" s="413">
        <v>4000</v>
      </c>
      <c r="AD226" s="345"/>
      <c r="AE226" s="68">
        <f t="shared" si="242"/>
        <v>30299</v>
      </c>
      <c r="AF226" s="366">
        <v>2021</v>
      </c>
      <c r="AG226" s="358"/>
      <c r="AH226" s="359">
        <v>35672.184456435156</v>
      </c>
      <c r="AI226" s="360"/>
      <c r="AJ226" s="360"/>
      <c r="AK226" s="360" t="str">
        <f t="shared" si="243"/>
        <v>VV</v>
      </c>
      <c r="AL226" s="18"/>
      <c r="AM226" s="360" t="str">
        <f t="shared" si="244"/>
        <v>2</v>
      </c>
      <c r="AN226" s="360" t="str">
        <f t="shared" si="245"/>
        <v>1</v>
      </c>
      <c r="AO226" s="360"/>
      <c r="AP226" s="346" t="str">
        <f t="shared" si="246"/>
        <v>1</v>
      </c>
      <c r="AQ226" s="360" t="str">
        <f t="shared" si="247"/>
        <v>2.1..1</v>
      </c>
      <c r="AR226" s="530"/>
      <c r="AS226" s="362" t="s">
        <v>151</v>
      </c>
      <c r="AT226" s="367">
        <v>35528</v>
      </c>
      <c r="AU226" s="367">
        <v>31144</v>
      </c>
      <c r="AV226" s="368">
        <f t="shared" si="252"/>
        <v>0.87660436838549871</v>
      </c>
      <c r="AW226" s="367">
        <v>28196</v>
      </c>
      <c r="AX226" s="368">
        <f t="shared" si="257"/>
        <v>0.79362756136005408</v>
      </c>
      <c r="AY226" s="367">
        <v>7332</v>
      </c>
      <c r="AZ226" s="368">
        <f t="shared" si="258"/>
        <v>0.20637243863994595</v>
      </c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</row>
    <row r="227" spans="1:68" ht="20.25" customHeight="1">
      <c r="A227" s="100">
        <v>33</v>
      </c>
      <c r="B227" s="100" t="s">
        <v>47</v>
      </c>
      <c r="C227" s="100" t="s">
        <v>2084</v>
      </c>
      <c r="D227" s="102" t="s">
        <v>477</v>
      </c>
      <c r="E227" s="100" t="str">
        <f t="shared" si="0"/>
        <v>Sama</v>
      </c>
      <c r="F227" s="63">
        <f t="shared" si="237"/>
        <v>209</v>
      </c>
      <c r="G227" s="63">
        <v>26</v>
      </c>
      <c r="H227" s="62" t="s">
        <v>47</v>
      </c>
      <c r="I227" s="62" t="s">
        <v>477</v>
      </c>
      <c r="J227" s="66">
        <v>19695.40733450132</v>
      </c>
      <c r="K227" s="533" t="s">
        <v>91</v>
      </c>
      <c r="L227" s="68">
        <f t="shared" si="256"/>
        <v>18584</v>
      </c>
      <c r="M227" s="63" t="s">
        <v>1076</v>
      </c>
      <c r="N227" s="365">
        <f t="shared" si="239"/>
        <v>2020</v>
      </c>
      <c r="O227" s="347" t="s">
        <v>478</v>
      </c>
      <c r="P227" s="370">
        <v>0</v>
      </c>
      <c r="Q227" s="370">
        <v>0</v>
      </c>
      <c r="R227" s="370">
        <v>18584</v>
      </c>
      <c r="S227" s="68">
        <f t="shared" si="240"/>
        <v>18584</v>
      </c>
      <c r="T227" s="63"/>
      <c r="U227" s="347"/>
      <c r="V227" s="370"/>
      <c r="W227" s="370"/>
      <c r="X227" s="370"/>
      <c r="Y227" s="68">
        <f t="shared" si="241"/>
        <v>0</v>
      </c>
      <c r="Z227" s="345"/>
      <c r="AA227" s="347"/>
      <c r="AB227" s="345"/>
      <c r="AC227" s="345"/>
      <c r="AD227" s="345"/>
      <c r="AE227" s="68">
        <f t="shared" si="242"/>
        <v>0</v>
      </c>
      <c r="AF227" s="366">
        <v>2020</v>
      </c>
      <c r="AG227" s="358"/>
      <c r="AH227" s="359">
        <v>18503.177266809787</v>
      </c>
      <c r="AI227" s="360"/>
      <c r="AJ227" s="360"/>
      <c r="AK227" s="360" t="str">
        <f t="shared" si="243"/>
        <v>V</v>
      </c>
      <c r="AL227" s="18"/>
      <c r="AM227" s="360" t="str">
        <f t="shared" si="244"/>
        <v>1</v>
      </c>
      <c r="AN227" s="360" t="str">
        <f t="shared" si="245"/>
        <v>1</v>
      </c>
      <c r="AO227" s="360"/>
      <c r="AP227" s="346" t="str">
        <f t="shared" si="246"/>
        <v>2</v>
      </c>
      <c r="AQ227" s="360" t="str">
        <f t="shared" si="247"/>
        <v>1.1..2</v>
      </c>
      <c r="AR227" s="530"/>
      <c r="AS227" s="362" t="s">
        <v>478</v>
      </c>
      <c r="AT227" s="367">
        <v>19695</v>
      </c>
      <c r="AU227" s="367">
        <v>18584</v>
      </c>
      <c r="AV227" s="368">
        <f t="shared" si="252"/>
        <v>0.94358974358974357</v>
      </c>
      <c r="AW227" s="367">
        <v>16716</v>
      </c>
      <c r="AX227" s="368">
        <f t="shared" si="257"/>
        <v>0.84874333587204875</v>
      </c>
      <c r="AY227" s="367">
        <v>2979</v>
      </c>
      <c r="AZ227" s="368">
        <f t="shared" si="258"/>
        <v>0.15125666412795125</v>
      </c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</row>
    <row r="228" spans="1:68" ht="20.25" customHeight="1">
      <c r="A228" s="100">
        <v>33</v>
      </c>
      <c r="B228" s="100" t="s">
        <v>47</v>
      </c>
      <c r="C228" s="100" t="s">
        <v>2085</v>
      </c>
      <c r="D228" s="102" t="s">
        <v>479</v>
      </c>
      <c r="E228" s="100" t="str">
        <f t="shared" si="0"/>
        <v>Sama</v>
      </c>
      <c r="F228" s="63">
        <f t="shared" si="237"/>
        <v>210</v>
      </c>
      <c r="G228" s="63">
        <v>27</v>
      </c>
      <c r="H228" s="62" t="s">
        <v>47</v>
      </c>
      <c r="I228" s="62" t="s">
        <v>479</v>
      </c>
      <c r="J228" s="66">
        <v>29796.250619556002</v>
      </c>
      <c r="K228" s="533" t="s">
        <v>91</v>
      </c>
      <c r="L228" s="68">
        <f t="shared" si="256"/>
        <v>27784.04</v>
      </c>
      <c r="M228" s="63" t="s">
        <v>1076</v>
      </c>
      <c r="N228" s="392">
        <f t="shared" si="239"/>
        <v>2021</v>
      </c>
      <c r="O228" s="382" t="s">
        <v>470</v>
      </c>
      <c r="P228" s="68">
        <v>0</v>
      </c>
      <c r="Q228" s="68">
        <v>0</v>
      </c>
      <c r="R228" s="68">
        <v>0</v>
      </c>
      <c r="S228" s="68">
        <f t="shared" si="240"/>
        <v>0</v>
      </c>
      <c r="T228" s="63"/>
      <c r="U228" s="385"/>
      <c r="V228" s="370"/>
      <c r="W228" s="370"/>
      <c r="X228" s="370"/>
      <c r="Y228" s="68">
        <f t="shared" si="241"/>
        <v>0</v>
      </c>
      <c r="Z228" s="345" t="s">
        <v>1076</v>
      </c>
      <c r="AA228" s="385" t="s">
        <v>1427</v>
      </c>
      <c r="AB228" s="345">
        <v>27784.04</v>
      </c>
      <c r="AC228" s="345"/>
      <c r="AD228" s="345"/>
      <c r="AE228" s="68">
        <f t="shared" si="242"/>
        <v>27784.04</v>
      </c>
      <c r="AF228" s="366" t="s">
        <v>1265</v>
      </c>
      <c r="AG228" s="358"/>
      <c r="AH228" s="359">
        <v>29228.263485204843</v>
      </c>
      <c r="AI228" s="360"/>
      <c r="AJ228" s="360"/>
      <c r="AK228" s="360" t="str">
        <f t="shared" si="243"/>
        <v>VV</v>
      </c>
      <c r="AL228" s="18"/>
      <c r="AM228" s="360" t="str">
        <f t="shared" si="244"/>
        <v>1</v>
      </c>
      <c r="AN228" s="360" t="str">
        <f t="shared" si="245"/>
        <v>2</v>
      </c>
      <c r="AO228" s="360"/>
      <c r="AP228" s="346" t="str">
        <f t="shared" si="246"/>
        <v>1</v>
      </c>
      <c r="AQ228" s="360" t="str">
        <f t="shared" si="247"/>
        <v>1.2..1</v>
      </c>
      <c r="AR228" s="530"/>
      <c r="AS228" s="362" t="s">
        <v>2077</v>
      </c>
      <c r="AT228" s="367">
        <v>29796</v>
      </c>
      <c r="AU228" s="367">
        <v>29287</v>
      </c>
      <c r="AV228" s="368">
        <f t="shared" si="252"/>
        <v>0.98291717008994495</v>
      </c>
      <c r="AW228" s="367">
        <v>26811</v>
      </c>
      <c r="AX228" s="368">
        <f t="shared" si="257"/>
        <v>0.89981876761981472</v>
      </c>
      <c r="AY228" s="367">
        <v>2985</v>
      </c>
      <c r="AZ228" s="368">
        <f t="shared" si="258"/>
        <v>0.10018123238018525</v>
      </c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</row>
    <row r="229" spans="1:68" ht="20.25" customHeight="1">
      <c r="A229" s="100">
        <v>33</v>
      </c>
      <c r="B229" s="100" t="s">
        <v>47</v>
      </c>
      <c r="C229" s="100" t="s">
        <v>2086</v>
      </c>
      <c r="D229" s="102" t="s">
        <v>480</v>
      </c>
      <c r="E229" s="100" t="str">
        <f t="shared" si="0"/>
        <v>Sama</v>
      </c>
      <c r="F229" s="63">
        <f t="shared" si="237"/>
        <v>211</v>
      </c>
      <c r="G229" s="63">
        <v>28</v>
      </c>
      <c r="H229" s="62" t="s">
        <v>47</v>
      </c>
      <c r="I229" s="62" t="s">
        <v>480</v>
      </c>
      <c r="J229" s="66">
        <v>38016.624463232241</v>
      </c>
      <c r="K229" s="533" t="s">
        <v>91</v>
      </c>
      <c r="L229" s="68">
        <f t="shared" ref="L229:L230" si="259">AE229</f>
        <v>32825.699999999997</v>
      </c>
      <c r="M229" s="63"/>
      <c r="N229" s="392">
        <f t="shared" si="239"/>
        <v>2011</v>
      </c>
      <c r="O229" s="382" t="s">
        <v>795</v>
      </c>
      <c r="P229" s="68">
        <v>37339</v>
      </c>
      <c r="Q229" s="68">
        <v>0</v>
      </c>
      <c r="R229" s="68">
        <v>37339</v>
      </c>
      <c r="S229" s="68">
        <f t="shared" si="240"/>
        <v>37339</v>
      </c>
      <c r="T229" s="63"/>
      <c r="U229" s="385"/>
      <c r="V229" s="370"/>
      <c r="W229" s="370"/>
      <c r="X229" s="370"/>
      <c r="Y229" s="68">
        <f t="shared" si="241"/>
        <v>0</v>
      </c>
      <c r="Z229" s="345" t="s">
        <v>1076</v>
      </c>
      <c r="AA229" s="385" t="s">
        <v>1429</v>
      </c>
      <c r="AB229" s="345">
        <v>32825.699999999997</v>
      </c>
      <c r="AC229" s="345"/>
      <c r="AD229" s="345"/>
      <c r="AE229" s="68">
        <f t="shared" si="242"/>
        <v>32825.699999999997</v>
      </c>
      <c r="AF229" s="364">
        <v>2021</v>
      </c>
      <c r="AG229" s="344"/>
      <c r="AH229" s="84">
        <v>37644.952490606353</v>
      </c>
      <c r="AI229" s="63"/>
      <c r="AJ229" s="63"/>
      <c r="AK229" s="63" t="str">
        <f t="shared" si="243"/>
        <v>V</v>
      </c>
      <c r="AL229" s="47"/>
      <c r="AM229" s="63" t="str">
        <f t="shared" si="244"/>
        <v>2</v>
      </c>
      <c r="AN229" s="63" t="str">
        <f t="shared" si="245"/>
        <v>1</v>
      </c>
      <c r="AO229" s="63"/>
      <c r="AP229" s="346" t="str">
        <f t="shared" si="246"/>
        <v>1</v>
      </c>
      <c r="AQ229" s="63" t="str">
        <f t="shared" si="247"/>
        <v>2.1..1</v>
      </c>
      <c r="AR229" s="534"/>
      <c r="AS229" s="64" t="s">
        <v>2087</v>
      </c>
      <c r="AT229" s="95">
        <v>38016.620000000003</v>
      </c>
      <c r="AU229" s="95">
        <v>32825.699999999997</v>
      </c>
      <c r="AV229" s="371">
        <f t="shared" si="252"/>
        <v>0.86345656189319286</v>
      </c>
      <c r="AW229" s="95">
        <v>30373</v>
      </c>
      <c r="AX229" s="371"/>
      <c r="AY229" s="95">
        <v>7643</v>
      </c>
      <c r="AZ229" s="371"/>
      <c r="BA229" s="47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</row>
    <row r="230" spans="1:68" ht="20.25" customHeight="1">
      <c r="A230" s="100">
        <v>33</v>
      </c>
      <c r="B230" s="100" t="s">
        <v>47</v>
      </c>
      <c r="C230" s="100" t="s">
        <v>2088</v>
      </c>
      <c r="D230" s="102" t="s">
        <v>482</v>
      </c>
      <c r="E230" s="100" t="str">
        <f t="shared" si="0"/>
        <v>Sama</v>
      </c>
      <c r="F230" s="63">
        <f t="shared" si="237"/>
        <v>212</v>
      </c>
      <c r="G230" s="63">
        <v>29</v>
      </c>
      <c r="H230" s="62" t="s">
        <v>47</v>
      </c>
      <c r="I230" s="62" t="s">
        <v>482</v>
      </c>
      <c r="J230" s="66">
        <v>22033.987595084003</v>
      </c>
      <c r="K230" s="533" t="s">
        <v>91</v>
      </c>
      <c r="L230" s="68">
        <f t="shared" si="259"/>
        <v>17869.990000000002</v>
      </c>
      <c r="M230" s="63"/>
      <c r="N230" s="392">
        <f t="shared" si="239"/>
        <v>2011</v>
      </c>
      <c r="O230" s="382" t="s">
        <v>1431</v>
      </c>
      <c r="P230" s="68">
        <v>22896</v>
      </c>
      <c r="Q230" s="68">
        <v>0</v>
      </c>
      <c r="R230" s="68">
        <v>22896</v>
      </c>
      <c r="S230" s="68">
        <f t="shared" si="240"/>
        <v>22896</v>
      </c>
      <c r="T230" s="63"/>
      <c r="U230" s="385"/>
      <c r="V230" s="370"/>
      <c r="W230" s="370"/>
      <c r="X230" s="370"/>
      <c r="Y230" s="68">
        <f t="shared" si="241"/>
        <v>0</v>
      </c>
      <c r="Z230" s="345" t="s">
        <v>1076</v>
      </c>
      <c r="AA230" s="385" t="s">
        <v>483</v>
      </c>
      <c r="AB230" s="345">
        <v>17869.990000000002</v>
      </c>
      <c r="AC230" s="345"/>
      <c r="AD230" s="345"/>
      <c r="AE230" s="68">
        <f t="shared" si="242"/>
        <v>17869.990000000002</v>
      </c>
      <c r="AF230" s="364">
        <v>2021</v>
      </c>
      <c r="AG230" s="344"/>
      <c r="AH230" s="84">
        <v>20671.565141732834</v>
      </c>
      <c r="AI230" s="63"/>
      <c r="AJ230" s="63"/>
      <c r="AK230" s="63" t="str">
        <f t="shared" si="243"/>
        <v>V</v>
      </c>
      <c r="AL230" s="47"/>
      <c r="AM230" s="63" t="str">
        <f t="shared" si="244"/>
        <v>2</v>
      </c>
      <c r="AN230" s="63" t="str">
        <f t="shared" si="245"/>
        <v>1</v>
      </c>
      <c r="AO230" s="63"/>
      <c r="AP230" s="346" t="str">
        <f t="shared" si="246"/>
        <v>1</v>
      </c>
      <c r="AQ230" s="63" t="str">
        <f t="shared" si="247"/>
        <v>2.1..1</v>
      </c>
      <c r="AR230" s="534"/>
      <c r="AS230" s="64" t="s">
        <v>2089</v>
      </c>
      <c r="AT230" s="95">
        <v>22033.99</v>
      </c>
      <c r="AU230" s="95">
        <v>17869.990000000002</v>
      </c>
      <c r="AV230" s="371">
        <f t="shared" si="252"/>
        <v>0.8110192479891295</v>
      </c>
      <c r="AW230" s="95">
        <v>17192</v>
      </c>
      <c r="AX230" s="371"/>
      <c r="AY230" s="95">
        <v>4842</v>
      </c>
      <c r="AZ230" s="371"/>
      <c r="BA230" s="47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</row>
    <row r="231" spans="1:68" ht="20.25" customHeight="1">
      <c r="A231" s="100">
        <v>33</v>
      </c>
      <c r="B231" s="100" t="s">
        <v>47</v>
      </c>
      <c r="C231" s="100" t="s">
        <v>2090</v>
      </c>
      <c r="D231" s="102" t="s">
        <v>484</v>
      </c>
      <c r="E231" s="100" t="str">
        <f t="shared" si="0"/>
        <v>Sama</v>
      </c>
      <c r="F231" s="63">
        <f t="shared" si="237"/>
        <v>213</v>
      </c>
      <c r="G231" s="63">
        <v>30</v>
      </c>
      <c r="H231" s="62" t="s">
        <v>47</v>
      </c>
      <c r="I231" s="62" t="s">
        <v>484</v>
      </c>
      <c r="J231" s="66">
        <v>45222.027009312609</v>
      </c>
      <c r="K231" s="533" t="s">
        <v>91</v>
      </c>
      <c r="L231" s="68">
        <f t="shared" ref="L231:L232" si="260">IF(S231&gt;0,S231,IF(Y231&gt;0,Y231,IF(AE231&gt;0,AE231,0)))</f>
        <v>42286</v>
      </c>
      <c r="M231" s="63" t="s">
        <v>1076</v>
      </c>
      <c r="N231" s="365">
        <f t="shared" si="239"/>
        <v>2020</v>
      </c>
      <c r="O231" s="347" t="s">
        <v>262</v>
      </c>
      <c r="P231" s="370">
        <v>42286</v>
      </c>
      <c r="Q231" s="370">
        <v>0</v>
      </c>
      <c r="R231" s="370">
        <v>42286</v>
      </c>
      <c r="S231" s="68">
        <f t="shared" si="240"/>
        <v>42286</v>
      </c>
      <c r="T231" s="63"/>
      <c r="U231" s="347"/>
      <c r="V231" s="370"/>
      <c r="W231" s="370"/>
      <c r="X231" s="370"/>
      <c r="Y231" s="68">
        <f t="shared" si="241"/>
        <v>0</v>
      </c>
      <c r="Z231" s="345"/>
      <c r="AA231" s="347"/>
      <c r="AB231" s="345"/>
      <c r="AC231" s="345"/>
      <c r="AD231" s="345"/>
      <c r="AE231" s="68">
        <f t="shared" si="242"/>
        <v>0</v>
      </c>
      <c r="AF231" s="366">
        <v>2020</v>
      </c>
      <c r="AG231" s="358"/>
      <c r="AH231" s="359">
        <v>43799.608674470299</v>
      </c>
      <c r="AI231" s="360"/>
      <c r="AJ231" s="360"/>
      <c r="AK231" s="360" t="str">
        <f t="shared" si="243"/>
        <v>V</v>
      </c>
      <c r="AL231" s="18"/>
      <c r="AM231" s="360" t="str">
        <f t="shared" si="244"/>
        <v>1</v>
      </c>
      <c r="AN231" s="360" t="str">
        <f t="shared" si="245"/>
        <v>1</v>
      </c>
      <c r="AO231" s="360"/>
      <c r="AP231" s="346" t="str">
        <f t="shared" si="246"/>
        <v>2</v>
      </c>
      <c r="AQ231" s="360" t="str">
        <f t="shared" si="247"/>
        <v>1.1..2</v>
      </c>
      <c r="AR231" s="530"/>
      <c r="AS231" s="362" t="s">
        <v>262</v>
      </c>
      <c r="AT231" s="367">
        <v>45222</v>
      </c>
      <c r="AU231" s="367">
        <v>42235</v>
      </c>
      <c r="AV231" s="368">
        <f t="shared" si="252"/>
        <v>0.93394807836893545</v>
      </c>
      <c r="AW231" s="367">
        <v>33703</v>
      </c>
      <c r="AX231" s="368">
        <f t="shared" ref="AX231:AX232" si="261">AW231/AT231</f>
        <v>0.74527884657909871</v>
      </c>
      <c r="AY231" s="367">
        <v>11519</v>
      </c>
      <c r="AZ231" s="368">
        <f t="shared" ref="AZ231:AZ232" si="262">AY231/AT231</f>
        <v>0.25472115342090135</v>
      </c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</row>
    <row r="232" spans="1:68" ht="20.25" customHeight="1">
      <c r="A232" s="100">
        <v>33</v>
      </c>
      <c r="B232" s="100" t="s">
        <v>47</v>
      </c>
      <c r="C232" s="100" t="s">
        <v>2091</v>
      </c>
      <c r="D232" s="102" t="s">
        <v>485</v>
      </c>
      <c r="E232" s="100" t="str">
        <f t="shared" si="0"/>
        <v>Sama</v>
      </c>
      <c r="F232" s="63">
        <f t="shared" si="237"/>
        <v>214</v>
      </c>
      <c r="G232" s="63">
        <v>31</v>
      </c>
      <c r="H232" s="62" t="s">
        <v>47</v>
      </c>
      <c r="I232" s="62" t="s">
        <v>485</v>
      </c>
      <c r="J232" s="66">
        <v>21824.760996559868</v>
      </c>
      <c r="K232" s="533" t="s">
        <v>91</v>
      </c>
      <c r="L232" s="68">
        <f t="shared" si="260"/>
        <v>23742</v>
      </c>
      <c r="M232" s="63" t="s">
        <v>1076</v>
      </c>
      <c r="N232" s="365">
        <f t="shared" si="239"/>
        <v>2018</v>
      </c>
      <c r="O232" s="347" t="s">
        <v>151</v>
      </c>
      <c r="P232" s="370">
        <v>23742</v>
      </c>
      <c r="Q232" s="370">
        <v>0</v>
      </c>
      <c r="R232" s="370">
        <v>23742</v>
      </c>
      <c r="S232" s="68">
        <f t="shared" si="240"/>
        <v>23742</v>
      </c>
      <c r="T232" s="63"/>
      <c r="U232" s="347"/>
      <c r="V232" s="370"/>
      <c r="W232" s="370"/>
      <c r="X232" s="370"/>
      <c r="Y232" s="68">
        <f t="shared" si="241"/>
        <v>0</v>
      </c>
      <c r="Z232" s="345"/>
      <c r="AA232" s="347"/>
      <c r="AB232" s="345"/>
      <c r="AC232" s="345"/>
      <c r="AD232" s="345"/>
      <c r="AE232" s="68">
        <f t="shared" si="242"/>
        <v>0</v>
      </c>
      <c r="AF232" s="366">
        <v>2020</v>
      </c>
      <c r="AG232" s="358"/>
      <c r="AH232" s="359">
        <v>20016.157178597343</v>
      </c>
      <c r="AI232" s="360"/>
      <c r="AJ232" s="360"/>
      <c r="AK232" s="360" t="str">
        <f t="shared" si="243"/>
        <v>V</v>
      </c>
      <c r="AL232" s="18"/>
      <c r="AM232" s="360" t="str">
        <f t="shared" si="244"/>
        <v>2</v>
      </c>
      <c r="AN232" s="360" t="str">
        <f t="shared" si="245"/>
        <v>1</v>
      </c>
      <c r="AO232" s="360"/>
      <c r="AP232" s="346" t="str">
        <f t="shared" si="246"/>
        <v>2</v>
      </c>
      <c r="AQ232" s="360" t="str">
        <f t="shared" si="247"/>
        <v>2.1..2</v>
      </c>
      <c r="AR232" s="530"/>
      <c r="AS232" s="362" t="s">
        <v>151</v>
      </c>
      <c r="AT232" s="367">
        <v>21825</v>
      </c>
      <c r="AU232" s="367">
        <v>23760</v>
      </c>
      <c r="AV232" s="368">
        <f t="shared" si="252"/>
        <v>1.0886597938144329</v>
      </c>
      <c r="AW232" s="367">
        <v>17596</v>
      </c>
      <c r="AX232" s="368">
        <f t="shared" si="261"/>
        <v>0.8062313860252005</v>
      </c>
      <c r="AY232" s="367">
        <v>4228</v>
      </c>
      <c r="AZ232" s="368">
        <f t="shared" si="262"/>
        <v>0.19372279495990835</v>
      </c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</row>
    <row r="233" spans="1:68" ht="20.25" customHeight="1">
      <c r="A233" s="100">
        <v>33</v>
      </c>
      <c r="B233" s="100" t="s">
        <v>47</v>
      </c>
      <c r="C233" s="100" t="s">
        <v>2092</v>
      </c>
      <c r="D233" s="102" t="s">
        <v>486</v>
      </c>
      <c r="E233" s="100" t="str">
        <f t="shared" si="0"/>
        <v>Sama</v>
      </c>
      <c r="F233" s="63">
        <f t="shared" si="237"/>
        <v>215</v>
      </c>
      <c r="G233" s="63">
        <v>32</v>
      </c>
      <c r="H233" s="62" t="s">
        <v>47</v>
      </c>
      <c r="I233" s="62" t="s">
        <v>486</v>
      </c>
      <c r="J233" s="66">
        <v>38965.168565923668</v>
      </c>
      <c r="K233" s="533" t="s">
        <v>91</v>
      </c>
      <c r="L233" s="68">
        <f>AE233</f>
        <v>41573</v>
      </c>
      <c r="M233" s="63"/>
      <c r="N233" s="392">
        <f t="shared" si="239"/>
        <v>2012</v>
      </c>
      <c r="O233" s="382" t="s">
        <v>198</v>
      </c>
      <c r="P233" s="68">
        <v>41296</v>
      </c>
      <c r="Q233" s="68">
        <v>0</v>
      </c>
      <c r="R233" s="68">
        <v>41296</v>
      </c>
      <c r="S233" s="68">
        <f t="shared" si="240"/>
        <v>41296</v>
      </c>
      <c r="T233" s="63"/>
      <c r="U233" s="385" t="s">
        <v>1435</v>
      </c>
      <c r="V233" s="370">
        <v>0</v>
      </c>
      <c r="W233" s="370">
        <v>0</v>
      </c>
      <c r="X233" s="370">
        <v>0</v>
      </c>
      <c r="Y233" s="68">
        <f t="shared" si="241"/>
        <v>0</v>
      </c>
      <c r="Z233" s="345" t="s">
        <v>1076</v>
      </c>
      <c r="AA233" s="385" t="s">
        <v>487</v>
      </c>
      <c r="AB233" s="344">
        <v>36088</v>
      </c>
      <c r="AC233" s="414">
        <v>5485</v>
      </c>
      <c r="AD233" s="414">
        <v>41573</v>
      </c>
      <c r="AE233" s="415">
        <v>41573</v>
      </c>
      <c r="AF233" s="364">
        <v>2021</v>
      </c>
      <c r="AG233" s="344"/>
      <c r="AH233" s="84">
        <v>38625.939502504945</v>
      </c>
      <c r="AI233" s="63"/>
      <c r="AJ233" s="63"/>
      <c r="AK233" s="63" t="str">
        <f t="shared" si="243"/>
        <v>V</v>
      </c>
      <c r="AL233" s="47"/>
      <c r="AM233" s="63" t="str">
        <f t="shared" si="244"/>
        <v>2</v>
      </c>
      <c r="AN233" s="63" t="str">
        <f t="shared" si="245"/>
        <v>1</v>
      </c>
      <c r="AO233" s="63"/>
      <c r="AP233" s="346" t="str">
        <f t="shared" si="246"/>
        <v>1</v>
      </c>
      <c r="AQ233" s="63" t="str">
        <f t="shared" si="247"/>
        <v>2.1..1</v>
      </c>
      <c r="AR233" s="534"/>
      <c r="AS233" s="64" t="s">
        <v>2093</v>
      </c>
      <c r="AT233" s="95">
        <v>38965.17</v>
      </c>
      <c r="AU233" s="95">
        <v>41573</v>
      </c>
      <c r="AV233" s="371">
        <f t="shared" si="252"/>
        <v>1.0669272070415707</v>
      </c>
      <c r="AW233" s="95">
        <v>36322</v>
      </c>
      <c r="AX233" s="371"/>
      <c r="AY233" s="95">
        <v>2644</v>
      </c>
      <c r="AZ233" s="371"/>
      <c r="BA233" s="47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</row>
    <row r="234" spans="1:68" ht="20.25" customHeight="1">
      <c r="A234" s="100">
        <v>33</v>
      </c>
      <c r="B234" s="100" t="s">
        <v>47</v>
      </c>
      <c r="C234" s="100" t="s">
        <v>2094</v>
      </c>
      <c r="D234" s="102" t="s">
        <v>488</v>
      </c>
      <c r="E234" s="100" t="str">
        <f t="shared" si="0"/>
        <v>Sama</v>
      </c>
      <c r="F234" s="63">
        <f t="shared" si="237"/>
        <v>216</v>
      </c>
      <c r="G234" s="63">
        <v>33</v>
      </c>
      <c r="H234" s="62" t="s">
        <v>47</v>
      </c>
      <c r="I234" s="62" t="s">
        <v>488</v>
      </c>
      <c r="J234" s="66">
        <v>17641.686535735011</v>
      </c>
      <c r="K234" s="533" t="s">
        <v>91</v>
      </c>
      <c r="L234" s="68">
        <f>Y234</f>
        <v>20709</v>
      </c>
      <c r="M234" s="63"/>
      <c r="N234" s="392">
        <f t="shared" si="239"/>
        <v>2012</v>
      </c>
      <c r="O234" s="382" t="s">
        <v>315</v>
      </c>
      <c r="P234" s="68">
        <v>19171</v>
      </c>
      <c r="Q234" s="68">
        <v>0</v>
      </c>
      <c r="R234" s="68">
        <v>19171</v>
      </c>
      <c r="S234" s="68">
        <f t="shared" si="240"/>
        <v>19171</v>
      </c>
      <c r="T234" s="63" t="s">
        <v>1076</v>
      </c>
      <c r="U234" s="385" t="s">
        <v>1437</v>
      </c>
      <c r="V234" s="370">
        <v>20709</v>
      </c>
      <c r="W234" s="370">
        <v>0</v>
      </c>
      <c r="X234" s="370">
        <v>20709</v>
      </c>
      <c r="Y234" s="68">
        <f t="shared" si="241"/>
        <v>20709</v>
      </c>
      <c r="Z234" s="345"/>
      <c r="AA234" s="385"/>
      <c r="AB234" s="345"/>
      <c r="AC234" s="345"/>
      <c r="AD234" s="345"/>
      <c r="AE234" s="68">
        <f t="shared" ref="AE234:AE242" si="263">IF(AD234&gt;0,AD234,IF(AB234&gt;0,AB234,0))</f>
        <v>0</v>
      </c>
      <c r="AF234" s="366">
        <v>2020</v>
      </c>
      <c r="AG234" s="358"/>
      <c r="AH234" s="359">
        <v>17248.680298906671</v>
      </c>
      <c r="AI234" s="360"/>
      <c r="AJ234" s="360"/>
      <c r="AK234" s="360" t="str">
        <f t="shared" si="243"/>
        <v>V</v>
      </c>
      <c r="AL234" s="18"/>
      <c r="AM234" s="360" t="str">
        <f t="shared" si="244"/>
        <v>2</v>
      </c>
      <c r="AN234" s="360" t="str">
        <f t="shared" si="245"/>
        <v>1</v>
      </c>
      <c r="AO234" s="360"/>
      <c r="AP234" s="346" t="str">
        <f t="shared" si="246"/>
        <v>1</v>
      </c>
      <c r="AQ234" s="360" t="str">
        <f t="shared" si="247"/>
        <v>2.1..1</v>
      </c>
      <c r="AR234" s="530"/>
      <c r="AS234" s="347" t="s">
        <v>489</v>
      </c>
      <c r="AT234" s="367">
        <v>17642</v>
      </c>
      <c r="AU234" s="367">
        <v>25725</v>
      </c>
      <c r="AV234" s="368">
        <f t="shared" si="252"/>
        <v>1.4581680081623398</v>
      </c>
      <c r="AW234" s="367">
        <v>13763</v>
      </c>
      <c r="AX234" s="368">
        <f t="shared" ref="AX234:AX235" si="264">AW234/AT234</f>
        <v>0.78012696973132301</v>
      </c>
      <c r="AY234" s="367">
        <v>3879</v>
      </c>
      <c r="AZ234" s="368">
        <f t="shared" ref="AZ234:AZ235" si="265">AY234/AT234</f>
        <v>0.21987303026867702</v>
      </c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</row>
    <row r="235" spans="1:68" ht="20.25" customHeight="1">
      <c r="A235" s="100">
        <v>33</v>
      </c>
      <c r="B235" s="100" t="s">
        <v>47</v>
      </c>
      <c r="C235" s="100" t="s">
        <v>2095</v>
      </c>
      <c r="D235" s="102" t="s">
        <v>490</v>
      </c>
      <c r="E235" s="100" t="str">
        <f t="shared" si="0"/>
        <v>Sama</v>
      </c>
      <c r="F235" s="63">
        <f t="shared" si="237"/>
        <v>217</v>
      </c>
      <c r="G235" s="63">
        <v>34</v>
      </c>
      <c r="H235" s="62" t="s">
        <v>47</v>
      </c>
      <c r="I235" s="62" t="s">
        <v>490</v>
      </c>
      <c r="J235" s="66">
        <v>44069.931506076828</v>
      </c>
      <c r="K235" s="533" t="s">
        <v>91</v>
      </c>
      <c r="L235" s="68">
        <f>IF(S235&gt;0,S235,IF(Y235&gt;0,Y235,IF(AE235&gt;0,AE235,0)))</f>
        <v>42076</v>
      </c>
      <c r="M235" s="63" t="s">
        <v>1076</v>
      </c>
      <c r="N235" s="365">
        <f t="shared" si="239"/>
        <v>2020</v>
      </c>
      <c r="O235" s="347" t="s">
        <v>389</v>
      </c>
      <c r="P235" s="370">
        <v>27423</v>
      </c>
      <c r="Q235" s="370">
        <v>0</v>
      </c>
      <c r="R235" s="370">
        <v>42076</v>
      </c>
      <c r="S235" s="68">
        <f t="shared" si="240"/>
        <v>42076</v>
      </c>
      <c r="T235" s="63"/>
      <c r="U235" s="347"/>
      <c r="V235" s="370"/>
      <c r="W235" s="370"/>
      <c r="X235" s="370"/>
      <c r="Y235" s="68">
        <f t="shared" si="241"/>
        <v>0</v>
      </c>
      <c r="Z235" s="345"/>
      <c r="AA235" s="347"/>
      <c r="AB235" s="345"/>
      <c r="AC235" s="345"/>
      <c r="AD235" s="345"/>
      <c r="AE235" s="68">
        <f t="shared" si="263"/>
        <v>0</v>
      </c>
      <c r="AF235" s="366">
        <v>2020</v>
      </c>
      <c r="AG235" s="358"/>
      <c r="AH235" s="359">
        <v>42443.657103890553</v>
      </c>
      <c r="AI235" s="360"/>
      <c r="AJ235" s="360"/>
      <c r="AK235" s="360" t="str">
        <f t="shared" si="243"/>
        <v>V</v>
      </c>
      <c r="AL235" s="18"/>
      <c r="AM235" s="360" t="str">
        <f t="shared" si="244"/>
        <v>1</v>
      </c>
      <c r="AN235" s="360" t="str">
        <f t="shared" si="245"/>
        <v>1</v>
      </c>
      <c r="AO235" s="360"/>
      <c r="AP235" s="346" t="str">
        <f t="shared" si="246"/>
        <v>2</v>
      </c>
      <c r="AQ235" s="360" t="str">
        <f t="shared" si="247"/>
        <v>1.1..2</v>
      </c>
      <c r="AR235" s="530"/>
      <c r="AS235" s="362" t="s">
        <v>2096</v>
      </c>
      <c r="AT235" s="367">
        <v>44070</v>
      </c>
      <c r="AU235" s="367">
        <v>42109</v>
      </c>
      <c r="AV235" s="368">
        <f t="shared" si="252"/>
        <v>0.95550260948491039</v>
      </c>
      <c r="AW235" s="367">
        <v>42038</v>
      </c>
      <c r="AX235" s="368">
        <f t="shared" si="264"/>
        <v>0.95389153619242117</v>
      </c>
      <c r="AY235" s="367">
        <v>2032</v>
      </c>
      <c r="AZ235" s="368">
        <f t="shared" si="265"/>
        <v>4.6108463807578853E-2</v>
      </c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</row>
    <row r="236" spans="1:68" ht="20.25" customHeight="1">
      <c r="A236" s="100">
        <v>33</v>
      </c>
      <c r="B236" s="100" t="s">
        <v>47</v>
      </c>
      <c r="C236" s="100" t="s">
        <v>2097</v>
      </c>
      <c r="D236" s="102" t="s">
        <v>491</v>
      </c>
      <c r="E236" s="100" t="str">
        <f t="shared" si="0"/>
        <v>Sama</v>
      </c>
      <c r="F236" s="63">
        <f t="shared" si="237"/>
        <v>218</v>
      </c>
      <c r="G236" s="63">
        <v>35</v>
      </c>
      <c r="H236" s="62" t="s">
        <v>47</v>
      </c>
      <c r="I236" s="62" t="s">
        <v>491</v>
      </c>
      <c r="J236" s="66">
        <v>12043.539308507001</v>
      </c>
      <c r="K236" s="533" t="s">
        <v>91</v>
      </c>
      <c r="L236" s="68">
        <f>AE236</f>
        <v>10168.57</v>
      </c>
      <c r="M236" s="63"/>
      <c r="N236" s="392">
        <f t="shared" si="239"/>
        <v>2011</v>
      </c>
      <c r="O236" s="382" t="s">
        <v>932</v>
      </c>
      <c r="P236" s="68">
        <v>16358</v>
      </c>
      <c r="Q236" s="68">
        <v>0</v>
      </c>
      <c r="R236" s="68">
        <v>16358</v>
      </c>
      <c r="S236" s="68">
        <f t="shared" si="240"/>
        <v>16358</v>
      </c>
      <c r="T236" s="63"/>
      <c r="U236" s="385"/>
      <c r="V236" s="370"/>
      <c r="W236" s="370"/>
      <c r="X236" s="370"/>
      <c r="Y236" s="68">
        <f t="shared" si="241"/>
        <v>0</v>
      </c>
      <c r="Z236" s="345" t="s">
        <v>1076</v>
      </c>
      <c r="AA236" s="385" t="s">
        <v>492</v>
      </c>
      <c r="AB236" s="345">
        <v>10168.57</v>
      </c>
      <c r="AC236" s="345"/>
      <c r="AD236" s="345"/>
      <c r="AE236" s="68">
        <f t="shared" si="263"/>
        <v>10168.57</v>
      </c>
      <c r="AF236" s="364">
        <v>2021</v>
      </c>
      <c r="AG236" s="344"/>
      <c r="AH236" s="84">
        <v>11917.368237842149</v>
      </c>
      <c r="AI236" s="63"/>
      <c r="AJ236" s="63"/>
      <c r="AK236" s="63" t="str">
        <f t="shared" si="243"/>
        <v>V</v>
      </c>
      <c r="AL236" s="47"/>
      <c r="AM236" s="63" t="str">
        <f t="shared" si="244"/>
        <v>2</v>
      </c>
      <c r="AN236" s="63" t="str">
        <f t="shared" si="245"/>
        <v>1</v>
      </c>
      <c r="AO236" s="63"/>
      <c r="AP236" s="346" t="str">
        <f t="shared" si="246"/>
        <v>1</v>
      </c>
      <c r="AQ236" s="63" t="str">
        <f t="shared" si="247"/>
        <v>2.1..1</v>
      </c>
      <c r="AR236" s="534"/>
      <c r="AS236" s="64" t="s">
        <v>2098</v>
      </c>
      <c r="AT236" s="95">
        <v>12043.54</v>
      </c>
      <c r="AU236" s="95">
        <v>10168.57</v>
      </c>
      <c r="AV236" s="371">
        <f t="shared" si="252"/>
        <v>0.84431736848136008</v>
      </c>
      <c r="AW236" s="95">
        <v>9590</v>
      </c>
      <c r="AX236" s="371"/>
      <c r="AY236" s="95">
        <v>2454</v>
      </c>
      <c r="AZ236" s="371"/>
      <c r="BA236" s="47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</row>
    <row r="237" spans="1:68" ht="20.25" customHeight="1">
      <c r="A237" s="100">
        <v>33</v>
      </c>
      <c r="B237" s="100" t="s">
        <v>47</v>
      </c>
      <c r="C237" s="100" t="s">
        <v>2099</v>
      </c>
      <c r="D237" s="102" t="s">
        <v>493</v>
      </c>
      <c r="E237" s="100" t="str">
        <f t="shared" si="0"/>
        <v>Sama</v>
      </c>
      <c r="F237" s="63">
        <f t="shared" si="237"/>
        <v>219</v>
      </c>
      <c r="G237" s="63">
        <v>15</v>
      </c>
      <c r="H237" s="62" t="s">
        <v>47</v>
      </c>
      <c r="I237" s="62" t="s">
        <v>493</v>
      </c>
      <c r="J237" s="66">
        <v>170.95386731419504</v>
      </c>
      <c r="K237" s="533" t="s">
        <v>91</v>
      </c>
      <c r="L237" s="68">
        <f t="shared" ref="L237:L242" si="266">IF(S237&gt;0,S237,IF(Y237&gt;0,Y237,IF(AE237&gt;0,AE237,0)))</f>
        <v>63</v>
      </c>
      <c r="M237" s="63" t="s">
        <v>1076</v>
      </c>
      <c r="N237" s="365">
        <f t="shared" si="239"/>
        <v>2020</v>
      </c>
      <c r="O237" s="347" t="s">
        <v>389</v>
      </c>
      <c r="P237" s="370">
        <v>63</v>
      </c>
      <c r="Q237" s="370">
        <v>0</v>
      </c>
      <c r="R237" s="370">
        <v>63</v>
      </c>
      <c r="S237" s="68">
        <f t="shared" si="240"/>
        <v>63</v>
      </c>
      <c r="T237" s="63"/>
      <c r="U237" s="347"/>
      <c r="V237" s="370"/>
      <c r="W237" s="370"/>
      <c r="X237" s="370"/>
      <c r="Y237" s="68">
        <f t="shared" si="241"/>
        <v>0</v>
      </c>
      <c r="Z237" s="345"/>
      <c r="AA237" s="347"/>
      <c r="AB237" s="345"/>
      <c r="AC237" s="345"/>
      <c r="AD237" s="345"/>
      <c r="AE237" s="68">
        <f t="shared" si="263"/>
        <v>0</v>
      </c>
      <c r="AF237" s="366">
        <v>2020</v>
      </c>
      <c r="AG237" s="358"/>
      <c r="AH237" s="359">
        <v>158.26912881118568</v>
      </c>
      <c r="AI237" s="360"/>
      <c r="AJ237" s="360"/>
      <c r="AK237" s="360" t="str">
        <f t="shared" si="243"/>
        <v>V</v>
      </c>
      <c r="AL237" s="18"/>
      <c r="AM237" s="360" t="str">
        <f t="shared" si="244"/>
        <v>1</v>
      </c>
      <c r="AN237" s="360" t="str">
        <f t="shared" si="245"/>
        <v>1</v>
      </c>
      <c r="AO237" s="360"/>
      <c r="AP237" s="346" t="str">
        <f t="shared" si="246"/>
        <v>2</v>
      </c>
      <c r="AQ237" s="360" t="str">
        <f t="shared" si="247"/>
        <v>1.1..2</v>
      </c>
      <c r="AR237" s="530"/>
      <c r="AS237" s="347" t="s">
        <v>389</v>
      </c>
      <c r="AT237" s="362">
        <v>171</v>
      </c>
      <c r="AU237" s="362">
        <v>63</v>
      </c>
      <c r="AV237" s="368">
        <f t="shared" si="252"/>
        <v>0.36842105263157893</v>
      </c>
      <c r="AW237" s="362">
        <v>59</v>
      </c>
      <c r="AX237" s="368">
        <f t="shared" ref="AX237:AX238" si="267">AW237/AT237</f>
        <v>0.34502923976608185</v>
      </c>
      <c r="AY237" s="362">
        <v>112</v>
      </c>
      <c r="AZ237" s="368">
        <f t="shared" ref="AZ237:AZ238" si="268">AY237/AT237</f>
        <v>0.65497076023391809</v>
      </c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</row>
    <row r="238" spans="1:68" ht="20.25" customHeight="1">
      <c r="A238" s="100">
        <v>33</v>
      </c>
      <c r="B238" s="100" t="s">
        <v>47</v>
      </c>
      <c r="C238" s="100" t="s">
        <v>2100</v>
      </c>
      <c r="D238" s="102" t="s">
        <v>494</v>
      </c>
      <c r="E238" s="100" t="str">
        <f t="shared" si="0"/>
        <v>Sama</v>
      </c>
      <c r="F238" s="63">
        <f t="shared" si="237"/>
        <v>220</v>
      </c>
      <c r="G238" s="63">
        <v>16</v>
      </c>
      <c r="H238" s="62" t="s">
        <v>47</v>
      </c>
      <c r="I238" s="62" t="s">
        <v>494</v>
      </c>
      <c r="J238" s="66">
        <v>955.78232036645784</v>
      </c>
      <c r="K238" s="533" t="s">
        <v>91</v>
      </c>
      <c r="L238" s="68">
        <f t="shared" si="266"/>
        <v>521</v>
      </c>
      <c r="M238" s="63" t="s">
        <v>1076</v>
      </c>
      <c r="N238" s="365">
        <f t="shared" si="239"/>
        <v>2020</v>
      </c>
      <c r="O238" s="347" t="s">
        <v>392</v>
      </c>
      <c r="P238" s="370">
        <v>0</v>
      </c>
      <c r="Q238" s="370">
        <v>0</v>
      </c>
      <c r="R238" s="370">
        <v>521</v>
      </c>
      <c r="S238" s="68">
        <f t="shared" si="240"/>
        <v>521</v>
      </c>
      <c r="T238" s="63"/>
      <c r="U238" s="347"/>
      <c r="V238" s="370"/>
      <c r="W238" s="370"/>
      <c r="X238" s="370"/>
      <c r="Y238" s="68">
        <f t="shared" si="241"/>
        <v>0</v>
      </c>
      <c r="Z238" s="345"/>
      <c r="AA238" s="347"/>
      <c r="AB238" s="345"/>
      <c r="AC238" s="345"/>
      <c r="AD238" s="345"/>
      <c r="AE238" s="68">
        <f t="shared" si="263"/>
        <v>0</v>
      </c>
      <c r="AF238" s="366">
        <v>2020</v>
      </c>
      <c r="AG238" s="358"/>
      <c r="AH238" s="359">
        <v>775.16904616668103</v>
      </c>
      <c r="AI238" s="360"/>
      <c r="AJ238" s="360"/>
      <c r="AK238" s="360" t="str">
        <f t="shared" si="243"/>
        <v>V</v>
      </c>
      <c r="AL238" s="18"/>
      <c r="AM238" s="360" t="str">
        <f t="shared" si="244"/>
        <v>1</v>
      </c>
      <c r="AN238" s="360" t="str">
        <f t="shared" si="245"/>
        <v>1</v>
      </c>
      <c r="AO238" s="360"/>
      <c r="AP238" s="346" t="str">
        <f t="shared" si="246"/>
        <v>2</v>
      </c>
      <c r="AQ238" s="360" t="str">
        <f t="shared" si="247"/>
        <v>1.1..2</v>
      </c>
      <c r="AR238" s="530"/>
      <c r="AS238" s="362" t="s">
        <v>2101</v>
      </c>
      <c r="AT238" s="362">
        <v>956</v>
      </c>
      <c r="AU238" s="362">
        <v>521</v>
      </c>
      <c r="AV238" s="368">
        <f t="shared" si="252"/>
        <v>0.54497907949790791</v>
      </c>
      <c r="AW238" s="362">
        <v>498</v>
      </c>
      <c r="AX238" s="368">
        <f t="shared" si="267"/>
        <v>0.52092050209205021</v>
      </c>
      <c r="AY238" s="362">
        <v>457</v>
      </c>
      <c r="AZ238" s="368">
        <f t="shared" si="268"/>
        <v>0.47803347280334729</v>
      </c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</row>
    <row r="239" spans="1:68" ht="20.25" customHeight="1">
      <c r="A239" s="100">
        <v>33</v>
      </c>
      <c r="B239" s="100" t="s">
        <v>47</v>
      </c>
      <c r="C239" s="100" t="s">
        <v>2102</v>
      </c>
      <c r="D239" s="102" t="s">
        <v>495</v>
      </c>
      <c r="E239" s="100" t="str">
        <f t="shared" si="0"/>
        <v>Sama</v>
      </c>
      <c r="F239" s="63">
        <f t="shared" si="237"/>
        <v>221</v>
      </c>
      <c r="G239" s="63">
        <v>17</v>
      </c>
      <c r="H239" s="62" t="s">
        <v>47</v>
      </c>
      <c r="I239" s="62" t="s">
        <v>495</v>
      </c>
      <c r="J239" s="66">
        <v>623.50063346359082</v>
      </c>
      <c r="K239" s="533" t="s">
        <v>104</v>
      </c>
      <c r="L239" s="68">
        <f t="shared" si="266"/>
        <v>479</v>
      </c>
      <c r="M239" s="63"/>
      <c r="N239" s="392">
        <f t="shared" si="239"/>
        <v>2011</v>
      </c>
      <c r="O239" s="382" t="s">
        <v>1413</v>
      </c>
      <c r="P239" s="68">
        <v>479</v>
      </c>
      <c r="Q239" s="68">
        <v>0</v>
      </c>
      <c r="R239" s="68">
        <v>479</v>
      </c>
      <c r="S239" s="68">
        <f t="shared" si="240"/>
        <v>479</v>
      </c>
      <c r="T239" s="63"/>
      <c r="U239" s="385" t="s">
        <v>1414</v>
      </c>
      <c r="V239" s="370">
        <v>0</v>
      </c>
      <c r="W239" s="370">
        <v>0</v>
      </c>
      <c r="X239" s="370">
        <v>0</v>
      </c>
      <c r="Y239" s="68">
        <f t="shared" si="241"/>
        <v>0</v>
      </c>
      <c r="Z239" s="345"/>
      <c r="AA239" s="385"/>
      <c r="AB239" s="345"/>
      <c r="AC239" s="345"/>
      <c r="AD239" s="345"/>
      <c r="AE239" s="68">
        <f t="shared" si="263"/>
        <v>0</v>
      </c>
      <c r="AF239" s="366" t="s">
        <v>1097</v>
      </c>
      <c r="AG239" s="358"/>
      <c r="AH239" s="359">
        <v>456.13090818085089</v>
      </c>
      <c r="AI239" s="360"/>
      <c r="AJ239" s="360"/>
      <c r="AK239" s="360" t="str">
        <f t="shared" si="243"/>
        <v/>
      </c>
      <c r="AL239" s="18"/>
      <c r="AM239" s="360" t="str">
        <f t="shared" si="244"/>
        <v>2</v>
      </c>
      <c r="AN239" s="360" t="str">
        <f t="shared" si="245"/>
        <v>1</v>
      </c>
      <c r="AO239" s="360"/>
      <c r="AP239" s="346" t="str">
        <f t="shared" si="246"/>
        <v>2</v>
      </c>
      <c r="AQ239" s="360" t="str">
        <f t="shared" si="247"/>
        <v>2.1..2</v>
      </c>
      <c r="AR239" s="530"/>
      <c r="AS239" s="360"/>
      <c r="AT239" s="362"/>
      <c r="AU239" s="362"/>
      <c r="AV239" s="362"/>
      <c r="AW239" s="362"/>
      <c r="AX239" s="362"/>
      <c r="AY239" s="362"/>
      <c r="AZ239" s="362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</row>
    <row r="240" spans="1:68" ht="20.25" customHeight="1">
      <c r="A240" s="100">
        <v>33</v>
      </c>
      <c r="B240" s="100" t="s">
        <v>47</v>
      </c>
      <c r="C240" s="100" t="s">
        <v>2103</v>
      </c>
      <c r="D240" s="102" t="s">
        <v>496</v>
      </c>
      <c r="E240" s="100" t="str">
        <f t="shared" si="0"/>
        <v>Sama</v>
      </c>
      <c r="F240" s="63">
        <f t="shared" si="237"/>
        <v>222</v>
      </c>
      <c r="G240" s="63">
        <v>18</v>
      </c>
      <c r="H240" s="62" t="s">
        <v>47</v>
      </c>
      <c r="I240" s="62" t="s">
        <v>496</v>
      </c>
      <c r="J240" s="66">
        <v>2645.0035349671075</v>
      </c>
      <c r="K240" s="533" t="s">
        <v>91</v>
      </c>
      <c r="L240" s="68">
        <f t="shared" si="266"/>
        <v>2602</v>
      </c>
      <c r="M240" s="63" t="s">
        <v>1076</v>
      </c>
      <c r="N240" s="365">
        <f t="shared" si="239"/>
        <v>2021</v>
      </c>
      <c r="O240" s="347" t="s">
        <v>304</v>
      </c>
      <c r="P240" s="370">
        <v>1663</v>
      </c>
      <c r="Q240" s="370">
        <v>0</v>
      </c>
      <c r="R240" s="370">
        <v>2602</v>
      </c>
      <c r="S240" s="68">
        <f t="shared" si="240"/>
        <v>2602</v>
      </c>
      <c r="T240" s="63"/>
      <c r="U240" s="347"/>
      <c r="V240" s="370"/>
      <c r="W240" s="370"/>
      <c r="X240" s="370"/>
      <c r="Y240" s="68">
        <f t="shared" si="241"/>
        <v>0</v>
      </c>
      <c r="Z240" s="345"/>
      <c r="AA240" s="347"/>
      <c r="AB240" s="345"/>
      <c r="AC240" s="345"/>
      <c r="AD240" s="345"/>
      <c r="AE240" s="68">
        <f t="shared" si="263"/>
        <v>0</v>
      </c>
      <c r="AF240" s="366">
        <v>2020</v>
      </c>
      <c r="AG240" s="358"/>
      <c r="AH240" s="359">
        <v>1851.1937979012632</v>
      </c>
      <c r="AI240" s="360"/>
      <c r="AJ240" s="360"/>
      <c r="AK240" s="360" t="str">
        <f t="shared" si="243"/>
        <v>V</v>
      </c>
      <c r="AL240" s="18"/>
      <c r="AM240" s="360" t="str">
        <f t="shared" si="244"/>
        <v>1</v>
      </c>
      <c r="AN240" s="360" t="str">
        <f t="shared" si="245"/>
        <v>1</v>
      </c>
      <c r="AO240" s="360"/>
      <c r="AP240" s="346" t="str">
        <f t="shared" si="246"/>
        <v>2</v>
      </c>
      <c r="AQ240" s="360" t="str">
        <f t="shared" si="247"/>
        <v>1.1..2</v>
      </c>
      <c r="AR240" s="530"/>
      <c r="AS240" s="362" t="s">
        <v>304</v>
      </c>
      <c r="AT240" s="367">
        <v>2645</v>
      </c>
      <c r="AU240" s="367">
        <v>2618</v>
      </c>
      <c r="AV240" s="368">
        <f>AU240/AT240</f>
        <v>0.98979206049149338</v>
      </c>
      <c r="AW240" s="367">
        <v>1285</v>
      </c>
      <c r="AX240" s="368">
        <f>AW240/AT240</f>
        <v>0.48582230623818523</v>
      </c>
      <c r="AY240" s="367">
        <v>1360</v>
      </c>
      <c r="AZ240" s="368">
        <f>AY240/AT240</f>
        <v>0.51417769376181477</v>
      </c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</row>
    <row r="241" spans="1:68" ht="20.25" customHeight="1">
      <c r="A241" s="100">
        <v>33</v>
      </c>
      <c r="B241" s="100" t="s">
        <v>47</v>
      </c>
      <c r="C241" s="100" t="s">
        <v>2104</v>
      </c>
      <c r="D241" s="102" t="s">
        <v>497</v>
      </c>
      <c r="E241" s="100" t="str">
        <f t="shared" si="0"/>
        <v>Sama</v>
      </c>
      <c r="F241" s="63">
        <f t="shared" si="237"/>
        <v>223</v>
      </c>
      <c r="G241" s="63">
        <v>19</v>
      </c>
      <c r="H241" s="62" t="s">
        <v>47</v>
      </c>
      <c r="I241" s="62" t="s">
        <v>497</v>
      </c>
      <c r="J241" s="66">
        <v>80.500914743999957</v>
      </c>
      <c r="K241" s="533" t="s">
        <v>104</v>
      </c>
      <c r="L241" s="68">
        <f t="shared" si="266"/>
        <v>111</v>
      </c>
      <c r="M241" s="63"/>
      <c r="N241" s="392">
        <f t="shared" si="239"/>
        <v>2021</v>
      </c>
      <c r="O241" s="382" t="s">
        <v>498</v>
      </c>
      <c r="P241" s="410">
        <v>111</v>
      </c>
      <c r="Q241" s="410">
        <v>0</v>
      </c>
      <c r="R241" s="410">
        <v>111</v>
      </c>
      <c r="S241" s="68">
        <f t="shared" si="240"/>
        <v>111</v>
      </c>
      <c r="T241" s="63"/>
      <c r="U241" s="347"/>
      <c r="V241" s="370"/>
      <c r="W241" s="370"/>
      <c r="X241" s="370"/>
      <c r="Y241" s="68">
        <f t="shared" si="241"/>
        <v>0</v>
      </c>
      <c r="Z241" s="345"/>
      <c r="AA241" s="347"/>
      <c r="AB241" s="345"/>
      <c r="AC241" s="345"/>
      <c r="AD241" s="345"/>
      <c r="AE241" s="68">
        <f t="shared" si="263"/>
        <v>0</v>
      </c>
      <c r="AF241" s="366" t="s">
        <v>1097</v>
      </c>
      <c r="AG241" s="358"/>
      <c r="AH241" s="359">
        <v>63.623854682828984</v>
      </c>
      <c r="AI241" s="360"/>
      <c r="AJ241" s="360"/>
      <c r="AK241" s="360" t="str">
        <f t="shared" si="243"/>
        <v/>
      </c>
      <c r="AL241" s="18"/>
      <c r="AM241" s="360" t="str">
        <f t="shared" si="244"/>
        <v>1</v>
      </c>
      <c r="AN241" s="360" t="str">
        <f t="shared" si="245"/>
        <v>1</v>
      </c>
      <c r="AO241" s="360"/>
      <c r="AP241" s="346" t="str">
        <f t="shared" si="246"/>
        <v>2</v>
      </c>
      <c r="AQ241" s="360" t="str">
        <f t="shared" si="247"/>
        <v>1.1..2</v>
      </c>
      <c r="AR241" s="530"/>
      <c r="AS241" s="360"/>
      <c r="AT241" s="362"/>
      <c r="AU241" s="362"/>
      <c r="AV241" s="362"/>
      <c r="AW241" s="362"/>
      <c r="AX241" s="362"/>
      <c r="AY241" s="362"/>
      <c r="AZ241" s="362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</row>
    <row r="242" spans="1:68" ht="20.25" customHeight="1">
      <c r="A242" s="100">
        <v>33</v>
      </c>
      <c r="B242" s="100" t="s">
        <v>47</v>
      </c>
      <c r="C242" s="100" t="s">
        <v>2105</v>
      </c>
      <c r="D242" s="102" t="s">
        <v>499</v>
      </c>
      <c r="E242" s="100" t="str">
        <f t="shared" si="0"/>
        <v>Sama</v>
      </c>
      <c r="F242" s="63">
        <f t="shared" si="237"/>
        <v>224</v>
      </c>
      <c r="G242" s="63">
        <v>20</v>
      </c>
      <c r="H242" s="62" t="s">
        <v>47</v>
      </c>
      <c r="I242" s="62" t="s">
        <v>499</v>
      </c>
      <c r="J242" s="66">
        <v>592.76015424270008</v>
      </c>
      <c r="K242" s="533" t="s">
        <v>91</v>
      </c>
      <c r="L242" s="68">
        <f t="shared" si="266"/>
        <v>382</v>
      </c>
      <c r="M242" s="63" t="s">
        <v>1076</v>
      </c>
      <c r="N242" s="365">
        <f t="shared" si="239"/>
        <v>2021</v>
      </c>
      <c r="O242" s="347" t="s">
        <v>149</v>
      </c>
      <c r="P242" s="370">
        <v>1060</v>
      </c>
      <c r="Q242" s="370">
        <v>0</v>
      </c>
      <c r="R242" s="370">
        <v>382</v>
      </c>
      <c r="S242" s="68">
        <f t="shared" si="240"/>
        <v>382</v>
      </c>
      <c r="T242" s="63"/>
      <c r="U242" s="347"/>
      <c r="V242" s="370"/>
      <c r="W242" s="370"/>
      <c r="X242" s="370"/>
      <c r="Y242" s="68">
        <f t="shared" si="241"/>
        <v>0</v>
      </c>
      <c r="Z242" s="345"/>
      <c r="AA242" s="347"/>
      <c r="AB242" s="345"/>
      <c r="AC242" s="345"/>
      <c r="AD242" s="345"/>
      <c r="AE242" s="68">
        <f t="shared" si="263"/>
        <v>0</v>
      </c>
      <c r="AF242" s="366">
        <v>2020</v>
      </c>
      <c r="AG242" s="358"/>
      <c r="AH242" s="359">
        <v>495.06893965880971</v>
      </c>
      <c r="AI242" s="360"/>
      <c r="AJ242" s="360"/>
      <c r="AK242" s="360" t="str">
        <f t="shared" si="243"/>
        <v>V</v>
      </c>
      <c r="AL242" s="18"/>
      <c r="AM242" s="360" t="str">
        <f t="shared" si="244"/>
        <v>1</v>
      </c>
      <c r="AN242" s="360" t="str">
        <f t="shared" si="245"/>
        <v>1</v>
      </c>
      <c r="AO242" s="360"/>
      <c r="AP242" s="346" t="str">
        <f t="shared" si="246"/>
        <v>2</v>
      </c>
      <c r="AQ242" s="360" t="str">
        <f t="shared" si="247"/>
        <v>1.1..2</v>
      </c>
      <c r="AR242" s="530"/>
      <c r="AS242" s="362" t="s">
        <v>149</v>
      </c>
      <c r="AT242" s="362">
        <v>593</v>
      </c>
      <c r="AU242" s="362">
        <v>382</v>
      </c>
      <c r="AV242" s="368">
        <f>AU242/AT242</f>
        <v>0.64418212478920744</v>
      </c>
      <c r="AW242" s="362">
        <v>363</v>
      </c>
      <c r="AX242" s="368">
        <f>AW242/AT242</f>
        <v>0.61214165261382802</v>
      </c>
      <c r="AY242" s="362">
        <v>230</v>
      </c>
      <c r="AZ242" s="368">
        <f>AY242/AT242</f>
        <v>0.38785834738617203</v>
      </c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</row>
    <row r="243" spans="1:68" ht="20.25" customHeight="1">
      <c r="A243" s="100">
        <v>34</v>
      </c>
      <c r="B243" s="100" t="s">
        <v>500</v>
      </c>
      <c r="C243" s="100">
        <v>34</v>
      </c>
      <c r="D243" s="102" t="s">
        <v>500</v>
      </c>
      <c r="E243" s="100" t="str">
        <f t="shared" si="0"/>
        <v>Sama</v>
      </c>
      <c r="F243" s="63"/>
      <c r="G243" s="341"/>
      <c r="H243" s="379"/>
      <c r="I243" s="379" t="s">
        <v>48</v>
      </c>
      <c r="J243" s="380"/>
      <c r="K243" s="353">
        <f>COUNTIF(K244:K248,"D") + COUNTIF(K244:K248,"DS")</f>
        <v>4</v>
      </c>
      <c r="L243" s="383">
        <f>SUBTOTAL(9,L244:L248)</f>
        <v>54099.990000000005</v>
      </c>
      <c r="M243" s="342"/>
      <c r="N243" s="355"/>
      <c r="O243" s="356"/>
      <c r="P243" s="383">
        <f t="shared" ref="P243:S243" si="269">SUBTOTAL(9,P244:P247)</f>
        <v>5500</v>
      </c>
      <c r="Q243" s="383">
        <f t="shared" si="269"/>
        <v>0</v>
      </c>
      <c r="R243" s="383">
        <f t="shared" si="269"/>
        <v>23991</v>
      </c>
      <c r="S243" s="383">
        <f t="shared" si="269"/>
        <v>23991</v>
      </c>
      <c r="T243" s="342"/>
      <c r="U243" s="351"/>
      <c r="V243" s="384">
        <v>48889.020000000004</v>
      </c>
      <c r="W243" s="384">
        <v>10205</v>
      </c>
      <c r="X243" s="384">
        <v>43057.05</v>
      </c>
      <c r="Y243" s="383">
        <f>SUBTOTAL(9,Y244:Y247)</f>
        <v>23982.04</v>
      </c>
      <c r="Z243" s="337">
        <v>3</v>
      </c>
      <c r="AA243" s="351">
        <v>3</v>
      </c>
      <c r="AB243" s="337">
        <v>48889.020000000004</v>
      </c>
      <c r="AC243" s="337">
        <v>10205</v>
      </c>
      <c r="AD243" s="337">
        <v>43057.05</v>
      </c>
      <c r="AE243" s="383">
        <f>SUBTOTAL(9,AE244:AE247)</f>
        <v>51685.229999999996</v>
      </c>
      <c r="AF243" s="357" t="s">
        <v>1138</v>
      </c>
      <c r="AG243" s="358"/>
      <c r="AH243" s="359">
        <f>SUM(AH244:AH247)</f>
        <v>73244.227560989282</v>
      </c>
      <c r="AI243" s="360"/>
      <c r="AJ243" s="360" t="s">
        <v>1452</v>
      </c>
      <c r="AK243" s="361">
        <f>COUNTIF(AK244:AK248,"V") + COUNTIF(AK244:AK248,"VV") + COUNTIF(AK244:AK248,"VVV")</f>
        <v>4</v>
      </c>
      <c r="AL243" s="18"/>
      <c r="AM243" s="360"/>
      <c r="AN243" s="360"/>
      <c r="AO243" s="360"/>
      <c r="AP243" s="346"/>
      <c r="AQ243" s="360"/>
      <c r="AR243" s="530"/>
      <c r="AS243" s="360"/>
      <c r="AT243" s="362"/>
      <c r="AU243" s="362"/>
      <c r="AV243" s="362"/>
      <c r="AW243" s="362"/>
      <c r="AX243" s="362"/>
      <c r="AY243" s="362"/>
      <c r="AZ243" s="362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</row>
    <row r="244" spans="1:68" ht="20.25" customHeight="1">
      <c r="A244" s="100">
        <v>34</v>
      </c>
      <c r="B244" s="100" t="s">
        <v>500</v>
      </c>
      <c r="C244" s="100" t="s">
        <v>2106</v>
      </c>
      <c r="D244" s="102" t="s">
        <v>501</v>
      </c>
      <c r="E244" s="100" t="str">
        <f t="shared" si="0"/>
        <v>Sama</v>
      </c>
      <c r="F244" s="63">
        <f t="shared" ref="F244:F248" si="270">SUBTOTAL(3,$G$7:G244)</f>
        <v>225</v>
      </c>
      <c r="G244" s="63">
        <v>1</v>
      </c>
      <c r="H244" s="62" t="s">
        <v>500</v>
      </c>
      <c r="I244" s="62" t="s">
        <v>501</v>
      </c>
      <c r="J244" s="66">
        <v>14945.185157916847</v>
      </c>
      <c r="K244" s="533" t="s">
        <v>91</v>
      </c>
      <c r="L244" s="68">
        <f t="shared" ref="L244:L248" si="271">IF(S244&gt;0,S244,IF(Y244&gt;0,Y244,IF(AE244&gt;0,AE244,0)))</f>
        <v>19075.010000000002</v>
      </c>
      <c r="M244" s="63"/>
      <c r="N244" s="392" t="e">
        <f t="shared" ref="N244:N248" si="272">VALUE(RIGHT(O244,4))</f>
        <v>#VALUE!</v>
      </c>
      <c r="O244" s="382"/>
      <c r="P244" s="68"/>
      <c r="Q244" s="68"/>
      <c r="R244" s="68"/>
      <c r="S244" s="68">
        <f t="shared" ref="S244:S248" si="273">IF(R244&gt;0,R244,IF(P244&gt;0,P244,0))</f>
        <v>0</v>
      </c>
      <c r="T244" s="63"/>
      <c r="U244" s="347"/>
      <c r="V244" s="370"/>
      <c r="W244" s="370"/>
      <c r="X244" s="370"/>
      <c r="Y244" s="68">
        <f t="shared" ref="Y244:Y248" si="274">IF(X244&gt;0,X244,IF(V244&gt;0,V244,0))</f>
        <v>0</v>
      </c>
      <c r="Z244" s="345" t="s">
        <v>1076</v>
      </c>
      <c r="AA244" s="531" t="s">
        <v>502</v>
      </c>
      <c r="AB244" s="345">
        <v>14407.5</v>
      </c>
      <c r="AC244" s="345">
        <v>4667.51</v>
      </c>
      <c r="AD244" s="345">
        <v>19075.010000000002</v>
      </c>
      <c r="AE244" s="68">
        <f t="shared" ref="AE244:AE248" si="275">IF(AD244&gt;0,AD244,IF(AB244&gt;0,AB244,0))</f>
        <v>19075.010000000002</v>
      </c>
      <c r="AF244" s="364">
        <v>2021</v>
      </c>
      <c r="AG244" s="344"/>
      <c r="AH244" s="84">
        <v>14457.720629764706</v>
      </c>
      <c r="AI244" s="63"/>
      <c r="AJ244" s="63" t="s">
        <v>1442</v>
      </c>
      <c r="AK244" s="63" t="str">
        <f t="shared" ref="AK244:AK248" si="276">CONCATENATE(M244,T244,Z244)</f>
        <v>V</v>
      </c>
      <c r="AL244" s="47"/>
      <c r="AM244" s="63" t="e">
        <f t="shared" ref="AM244:AM248" si="277">IF(N244=0,"3",IF(N244&lt;=2018,"2","1"))</f>
        <v>#VALUE!</v>
      </c>
      <c r="AN244" s="63" t="str">
        <f t="shared" ref="AN244:AN248" si="278">IF(S244&gt;0,"1","2")</f>
        <v>2</v>
      </c>
      <c r="AO244" s="63"/>
      <c r="AP244" s="346" t="str">
        <f t="shared" ref="AP244:AP248" si="279">IF(Y244&gt;0,"1",IF(AE244&gt;0,"1","2"))</f>
        <v>1</v>
      </c>
      <c r="AQ244" s="63" t="e">
        <f t="shared" ref="AQ244:AQ248" si="280">CONCATENATE(AM244,".",AN244,".",AO244,".",AP244)</f>
        <v>#VALUE!</v>
      </c>
      <c r="AR244" s="534"/>
      <c r="AS244" s="64" t="s">
        <v>2107</v>
      </c>
      <c r="AT244" s="95">
        <v>14945.19</v>
      </c>
      <c r="AU244" s="95">
        <v>19075.009999999998</v>
      </c>
      <c r="AV244" s="371">
        <f t="shared" ref="AV244:AV247" si="281">AU244/AT244</f>
        <v>1.2763310469789944</v>
      </c>
      <c r="AW244" s="95">
        <v>13326</v>
      </c>
      <c r="AX244" s="371"/>
      <c r="AY244" s="95">
        <v>1619</v>
      </c>
      <c r="AZ244" s="371"/>
      <c r="BA244" s="47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</row>
    <row r="245" spans="1:68" ht="20.25" customHeight="1">
      <c r="A245" s="100">
        <v>34</v>
      </c>
      <c r="B245" s="100" t="s">
        <v>500</v>
      </c>
      <c r="C245" s="100" t="s">
        <v>2108</v>
      </c>
      <c r="D245" s="102" t="s">
        <v>503</v>
      </c>
      <c r="E245" s="100" t="str">
        <f t="shared" si="0"/>
        <v>Beda</v>
      </c>
      <c r="F245" s="63">
        <f t="shared" si="270"/>
        <v>226</v>
      </c>
      <c r="G245" s="63">
        <v>2</v>
      </c>
      <c r="H245" s="62" t="s">
        <v>500</v>
      </c>
      <c r="I245" s="62" t="s">
        <v>2109</v>
      </c>
      <c r="J245" s="66">
        <v>31973.492196526193</v>
      </c>
      <c r="K245" s="533" t="s">
        <v>91</v>
      </c>
      <c r="L245" s="68">
        <f t="shared" si="271"/>
        <v>5500</v>
      </c>
      <c r="M245" s="63"/>
      <c r="N245" s="392">
        <f t="shared" si="272"/>
        <v>2011</v>
      </c>
      <c r="O245" s="382" t="s">
        <v>1431</v>
      </c>
      <c r="P245" s="68">
        <v>5500</v>
      </c>
      <c r="Q245" s="68">
        <v>0</v>
      </c>
      <c r="R245" s="68">
        <v>5500</v>
      </c>
      <c r="S245" s="68">
        <f t="shared" si="273"/>
        <v>5500</v>
      </c>
      <c r="T245" s="63" t="s">
        <v>1076</v>
      </c>
      <c r="U245" s="385" t="s">
        <v>1444</v>
      </c>
      <c r="V245" s="370">
        <v>5500</v>
      </c>
      <c r="W245" s="370">
        <v>0</v>
      </c>
      <c r="X245" s="370">
        <v>5500</v>
      </c>
      <c r="Y245" s="68">
        <f t="shared" si="274"/>
        <v>5500</v>
      </c>
      <c r="Z245" s="345" t="s">
        <v>1076</v>
      </c>
      <c r="AA245" s="541" t="s">
        <v>504</v>
      </c>
      <c r="AB245" s="345">
        <v>21576.240000000002</v>
      </c>
      <c r="AC245" s="345">
        <v>657.92</v>
      </c>
      <c r="AD245" s="345"/>
      <c r="AE245" s="68">
        <f t="shared" si="275"/>
        <v>21576.240000000002</v>
      </c>
      <c r="AF245" s="364">
        <v>2021</v>
      </c>
      <c r="AG245" s="344"/>
      <c r="AH245" s="84">
        <v>31560.283958874807</v>
      </c>
      <c r="AI245" s="63"/>
      <c r="AJ245" s="63"/>
      <c r="AK245" s="63" t="str">
        <f t="shared" si="276"/>
        <v>VV</v>
      </c>
      <c r="AL245" s="47"/>
      <c r="AM245" s="63" t="str">
        <f t="shared" si="277"/>
        <v>2</v>
      </c>
      <c r="AN245" s="63" t="str">
        <f t="shared" si="278"/>
        <v>1</v>
      </c>
      <c r="AO245" s="63"/>
      <c r="AP245" s="346" t="str">
        <f t="shared" si="279"/>
        <v>1</v>
      </c>
      <c r="AQ245" s="63" t="str">
        <f t="shared" si="280"/>
        <v>2.1..1</v>
      </c>
      <c r="AR245" s="534"/>
      <c r="AS245" s="64" t="s">
        <v>2110</v>
      </c>
      <c r="AT245" s="95">
        <v>31973.49</v>
      </c>
      <c r="AU245" s="95">
        <v>22234.16</v>
      </c>
      <c r="AV245" s="371">
        <f t="shared" si="281"/>
        <v>0.69539359012732105</v>
      </c>
      <c r="AW245" s="95">
        <v>21912</v>
      </c>
      <c r="AX245" s="371"/>
      <c r="AY245" s="95">
        <v>10061</v>
      </c>
      <c r="AZ245" s="371"/>
      <c r="BA245" s="47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</row>
    <row r="246" spans="1:68" ht="20.25" customHeight="1">
      <c r="A246" s="100">
        <v>34</v>
      </c>
      <c r="B246" s="100" t="s">
        <v>500</v>
      </c>
      <c r="C246" s="100" t="s">
        <v>2111</v>
      </c>
      <c r="D246" s="102" t="s">
        <v>505</v>
      </c>
      <c r="E246" s="100" t="str">
        <f t="shared" si="0"/>
        <v>Sama</v>
      </c>
      <c r="F246" s="63">
        <f t="shared" si="270"/>
        <v>227</v>
      </c>
      <c r="G246" s="63">
        <v>4</v>
      </c>
      <c r="H246" s="62" t="s">
        <v>500</v>
      </c>
      <c r="I246" s="62" t="s">
        <v>505</v>
      </c>
      <c r="J246" s="66">
        <v>11008.169029435829</v>
      </c>
      <c r="K246" s="533" t="s">
        <v>91</v>
      </c>
      <c r="L246" s="68">
        <f t="shared" si="271"/>
        <v>11033.98</v>
      </c>
      <c r="M246" s="63"/>
      <c r="N246" s="392" t="e">
        <f t="shared" si="272"/>
        <v>#VALUE!</v>
      </c>
      <c r="O246" s="382"/>
      <c r="P246" s="68"/>
      <c r="Q246" s="68"/>
      <c r="R246" s="68"/>
      <c r="S246" s="68">
        <f t="shared" si="273"/>
        <v>0</v>
      </c>
      <c r="T246" s="63"/>
      <c r="U246" s="347"/>
      <c r="V246" s="370"/>
      <c r="W246" s="370"/>
      <c r="X246" s="370"/>
      <c r="Y246" s="68">
        <f t="shared" si="274"/>
        <v>0</v>
      </c>
      <c r="Z246" s="345" t="s">
        <v>1076</v>
      </c>
      <c r="AA246" s="531" t="s">
        <v>2112</v>
      </c>
      <c r="AB246" s="345">
        <v>11033.98</v>
      </c>
      <c r="AC246" s="345">
        <v>5002.99</v>
      </c>
      <c r="AD246" s="345"/>
      <c r="AE246" s="68">
        <f t="shared" si="275"/>
        <v>11033.98</v>
      </c>
      <c r="AF246" s="364">
        <v>2021</v>
      </c>
      <c r="AG246" s="344"/>
      <c r="AH246" s="84">
        <v>10100.057306087863</v>
      </c>
      <c r="AI246" s="63"/>
      <c r="AJ246" s="63" t="s">
        <v>1442</v>
      </c>
      <c r="AK246" s="63" t="str">
        <f t="shared" si="276"/>
        <v>V</v>
      </c>
      <c r="AL246" s="47"/>
      <c r="AM246" s="63" t="e">
        <f t="shared" si="277"/>
        <v>#VALUE!</v>
      </c>
      <c r="AN246" s="63" t="str">
        <f t="shared" si="278"/>
        <v>2</v>
      </c>
      <c r="AO246" s="63"/>
      <c r="AP246" s="346" t="str">
        <f t="shared" si="279"/>
        <v>1</v>
      </c>
      <c r="AQ246" s="63" t="e">
        <f t="shared" si="280"/>
        <v>#VALUE!</v>
      </c>
      <c r="AR246" s="534"/>
      <c r="AS246" s="64" t="s">
        <v>2113</v>
      </c>
      <c r="AT246" s="95">
        <v>11008.17</v>
      </c>
      <c r="AU246" s="95">
        <v>16036.97</v>
      </c>
      <c r="AV246" s="371">
        <f t="shared" si="281"/>
        <v>1.4568243404671257</v>
      </c>
      <c r="AW246" s="95">
        <v>9847</v>
      </c>
      <c r="AX246" s="371"/>
      <c r="AY246" s="95">
        <v>1161</v>
      </c>
      <c r="AZ246" s="371"/>
      <c r="BA246" s="47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</row>
    <row r="247" spans="1:68" ht="20.25" customHeight="1">
      <c r="A247" s="100">
        <v>34</v>
      </c>
      <c r="B247" s="100" t="s">
        <v>500</v>
      </c>
      <c r="C247" s="100" t="s">
        <v>2114</v>
      </c>
      <c r="D247" s="102" t="s">
        <v>507</v>
      </c>
      <c r="E247" s="100" t="str">
        <f t="shared" si="0"/>
        <v>Sama</v>
      </c>
      <c r="F247" s="63">
        <f t="shared" si="270"/>
        <v>228</v>
      </c>
      <c r="G247" s="63">
        <v>5</v>
      </c>
      <c r="H247" s="62" t="s">
        <v>500</v>
      </c>
      <c r="I247" s="62" t="s">
        <v>507</v>
      </c>
      <c r="J247" s="66">
        <v>18294.931443255406</v>
      </c>
      <c r="K247" s="533" t="s">
        <v>91</v>
      </c>
      <c r="L247" s="68">
        <f t="shared" si="271"/>
        <v>18491</v>
      </c>
      <c r="M247" s="63" t="s">
        <v>1076</v>
      </c>
      <c r="N247" s="365">
        <f t="shared" si="272"/>
        <v>2021</v>
      </c>
      <c r="O247" s="531" t="s">
        <v>1449</v>
      </c>
      <c r="P247" s="68"/>
      <c r="Q247" s="68"/>
      <c r="R247" s="68">
        <v>18491</v>
      </c>
      <c r="S247" s="68">
        <f t="shared" si="273"/>
        <v>18491</v>
      </c>
      <c r="T247" s="63" t="s">
        <v>1076</v>
      </c>
      <c r="U247" s="541" t="s">
        <v>1450</v>
      </c>
      <c r="V247" s="370">
        <v>17947.54</v>
      </c>
      <c r="W247" s="370">
        <v>534.5</v>
      </c>
      <c r="X247" s="370">
        <v>18482.04</v>
      </c>
      <c r="Y247" s="68">
        <f t="shared" si="274"/>
        <v>18482.04</v>
      </c>
      <c r="Z247" s="345"/>
      <c r="AA247" s="385"/>
      <c r="AB247" s="345"/>
      <c r="AC247" s="345"/>
      <c r="AD247" s="345"/>
      <c r="AE247" s="68">
        <f t="shared" si="275"/>
        <v>0</v>
      </c>
      <c r="AF247" s="366">
        <v>2020</v>
      </c>
      <c r="AG247" s="358"/>
      <c r="AH247" s="359">
        <v>17126.165666261903</v>
      </c>
      <c r="AI247" s="360"/>
      <c r="AJ247" s="360"/>
      <c r="AK247" s="360" t="str">
        <f t="shared" si="276"/>
        <v>VV</v>
      </c>
      <c r="AL247" s="18"/>
      <c r="AM247" s="360" t="str">
        <f t="shared" si="277"/>
        <v>1</v>
      </c>
      <c r="AN247" s="360" t="str">
        <f t="shared" si="278"/>
        <v>1</v>
      </c>
      <c r="AO247" s="360"/>
      <c r="AP247" s="346" t="str">
        <f t="shared" si="279"/>
        <v>1</v>
      </c>
      <c r="AQ247" s="360" t="str">
        <f t="shared" si="280"/>
        <v>1.1..1</v>
      </c>
      <c r="AR247" s="530"/>
      <c r="AS247" s="362" t="s">
        <v>2115</v>
      </c>
      <c r="AT247" s="367">
        <v>18295</v>
      </c>
      <c r="AU247" s="367">
        <v>18492</v>
      </c>
      <c r="AV247" s="368">
        <f t="shared" si="281"/>
        <v>1.0107679693905438</v>
      </c>
      <c r="AW247" s="367">
        <v>11914</v>
      </c>
      <c r="AX247" s="368">
        <f>AW247/AT247</f>
        <v>0.65121617928395736</v>
      </c>
      <c r="AY247" s="367">
        <v>6381</v>
      </c>
      <c r="AZ247" s="368">
        <f>AY247/AT247</f>
        <v>0.34878382071604264</v>
      </c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</row>
    <row r="248" spans="1:68" ht="20.25" customHeight="1">
      <c r="A248" s="100">
        <v>34</v>
      </c>
      <c r="B248" s="100" t="s">
        <v>500</v>
      </c>
      <c r="C248" s="100" t="s">
        <v>2116</v>
      </c>
      <c r="D248" s="102" t="s">
        <v>509</v>
      </c>
      <c r="E248" s="100" t="str">
        <f t="shared" si="0"/>
        <v>Sama</v>
      </c>
      <c r="F248" s="63">
        <f t="shared" si="270"/>
        <v>229</v>
      </c>
      <c r="G248" s="63">
        <v>3</v>
      </c>
      <c r="H248" s="62" t="s">
        <v>500</v>
      </c>
      <c r="I248" s="62" t="s">
        <v>509</v>
      </c>
      <c r="J248" s="66">
        <v>51.301788382437621</v>
      </c>
      <c r="K248" s="533" t="s">
        <v>661</v>
      </c>
      <c r="L248" s="68">
        <f t="shared" si="271"/>
        <v>0</v>
      </c>
      <c r="M248" s="63"/>
      <c r="N248" s="392" t="e">
        <f t="shared" si="272"/>
        <v>#VALUE!</v>
      </c>
      <c r="O248" s="382"/>
      <c r="P248" s="68"/>
      <c r="Q248" s="68"/>
      <c r="R248" s="68"/>
      <c r="S248" s="68">
        <f t="shared" si="273"/>
        <v>0</v>
      </c>
      <c r="T248" s="63"/>
      <c r="U248" s="385"/>
      <c r="V248" s="370"/>
      <c r="W248" s="370"/>
      <c r="X248" s="370"/>
      <c r="Y248" s="68">
        <f t="shared" si="274"/>
        <v>0</v>
      </c>
      <c r="Z248" s="345"/>
      <c r="AA248" s="385"/>
      <c r="AB248" s="345"/>
      <c r="AC248" s="345"/>
      <c r="AD248" s="345"/>
      <c r="AE248" s="68">
        <f t="shared" si="275"/>
        <v>0</v>
      </c>
      <c r="AF248" s="366" t="s">
        <v>1097</v>
      </c>
      <c r="AG248" s="358"/>
      <c r="AH248" s="359">
        <v>44.599470049822727</v>
      </c>
      <c r="AI248" s="360"/>
      <c r="AJ248" s="360"/>
      <c r="AK248" s="360" t="str">
        <f t="shared" si="276"/>
        <v/>
      </c>
      <c r="AL248" s="18"/>
      <c r="AM248" s="360" t="e">
        <f t="shared" si="277"/>
        <v>#VALUE!</v>
      </c>
      <c r="AN248" s="360" t="str">
        <f t="shared" si="278"/>
        <v>2</v>
      </c>
      <c r="AO248" s="360"/>
      <c r="AP248" s="346" t="str">
        <f t="shared" si="279"/>
        <v>2</v>
      </c>
      <c r="AQ248" s="360" t="e">
        <f t="shared" si="280"/>
        <v>#VALUE!</v>
      </c>
      <c r="AR248" s="530"/>
      <c r="AS248" s="360"/>
      <c r="AT248" s="362"/>
      <c r="AU248" s="362"/>
      <c r="AV248" s="362"/>
      <c r="AW248" s="362"/>
      <c r="AX248" s="362"/>
      <c r="AY248" s="362"/>
      <c r="AZ248" s="362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</row>
    <row r="249" spans="1:68" ht="20.25" customHeight="1">
      <c r="A249" s="100">
        <v>35</v>
      </c>
      <c r="B249" s="100" t="s">
        <v>49</v>
      </c>
      <c r="C249" s="100">
        <v>35</v>
      </c>
      <c r="D249" s="102" t="s">
        <v>2117</v>
      </c>
      <c r="E249" s="100" t="str">
        <f t="shared" si="0"/>
        <v>Sama</v>
      </c>
      <c r="F249" s="63"/>
      <c r="G249" s="342"/>
      <c r="H249" s="379"/>
      <c r="I249" s="379" t="s">
        <v>2117</v>
      </c>
      <c r="J249" s="380"/>
      <c r="K249" s="353">
        <f>COUNTIF(K250:K287,"D") + COUNTIF(K250:K287,"DS")</f>
        <v>35</v>
      </c>
      <c r="L249" s="383">
        <f>SUBTOTAL(9,L250:L287)</f>
        <v>994717.56000000017</v>
      </c>
      <c r="M249" s="342">
        <f>COUNTIF(M250:M287,T255)</f>
        <v>6</v>
      </c>
      <c r="N249" s="355"/>
      <c r="O249" s="356"/>
      <c r="P249" s="383">
        <f t="shared" ref="P249:Y249" si="282">SUBTOTAL(9,P250:P287)</f>
        <v>742855.92999999993</v>
      </c>
      <c r="Q249" s="383">
        <f t="shared" si="282"/>
        <v>0</v>
      </c>
      <c r="R249" s="383">
        <f t="shared" si="282"/>
        <v>891689.92999999993</v>
      </c>
      <c r="S249" s="383">
        <f t="shared" si="282"/>
        <v>891689.92999999993</v>
      </c>
      <c r="T249" s="383">
        <f t="shared" si="282"/>
        <v>0</v>
      </c>
      <c r="U249" s="406">
        <f t="shared" si="282"/>
        <v>0</v>
      </c>
      <c r="V249" s="383">
        <f t="shared" si="282"/>
        <v>409369.21</v>
      </c>
      <c r="W249" s="383">
        <f t="shared" si="282"/>
        <v>16061.54</v>
      </c>
      <c r="X249" s="383">
        <f t="shared" si="282"/>
        <v>381262.75</v>
      </c>
      <c r="Y249" s="383">
        <f t="shared" si="282"/>
        <v>419579.75</v>
      </c>
      <c r="Z249" s="354">
        <v>4</v>
      </c>
      <c r="AA249" s="406">
        <v>5</v>
      </c>
      <c r="AB249" s="354">
        <f t="shared" ref="AB249:AE249" si="283">SUBTOTAL(9,AB250:AB287)</f>
        <v>391180.12000000011</v>
      </c>
      <c r="AC249" s="354">
        <f t="shared" si="283"/>
        <v>29271.510000000002</v>
      </c>
      <c r="AD249" s="354">
        <f t="shared" si="283"/>
        <v>297839.92</v>
      </c>
      <c r="AE249" s="383">
        <f t="shared" si="283"/>
        <v>414656.91</v>
      </c>
      <c r="AF249" s="357" t="s">
        <v>1138</v>
      </c>
      <c r="AG249" s="358"/>
      <c r="AH249" s="359">
        <f>SUM(AH250:AH287)</f>
        <v>1194054.3891268456</v>
      </c>
      <c r="AI249" s="360"/>
      <c r="AJ249" s="360"/>
      <c r="AK249" s="361">
        <f>COUNTIF(AK250:AK287,"V") + COUNTIF(AK250:AK287,"VV") + COUNTIF(AK250:AK287,"VVV")</f>
        <v>21</v>
      </c>
      <c r="AL249" s="18"/>
      <c r="AM249" s="360"/>
      <c r="AN249" s="360"/>
      <c r="AO249" s="360"/>
      <c r="AP249" s="346"/>
      <c r="AQ249" s="360"/>
      <c r="AR249" s="530"/>
      <c r="AS249" s="360"/>
      <c r="AT249" s="362"/>
      <c r="AU249" s="362"/>
      <c r="AV249" s="362"/>
      <c r="AW249" s="362"/>
      <c r="AX249" s="362"/>
      <c r="AY249" s="362"/>
      <c r="AZ249" s="362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</row>
    <row r="250" spans="1:68" ht="20.25" customHeight="1">
      <c r="A250" s="100">
        <v>35</v>
      </c>
      <c r="B250" s="100" t="s">
        <v>49</v>
      </c>
      <c r="C250" s="100" t="s">
        <v>2118</v>
      </c>
      <c r="D250" s="102" t="s">
        <v>510</v>
      </c>
      <c r="E250" s="100" t="str">
        <f t="shared" si="0"/>
        <v>Sama</v>
      </c>
      <c r="F250" s="63">
        <f t="shared" ref="F250:F287" si="284">SUBTOTAL(3,$G$7:G250)</f>
        <v>230</v>
      </c>
      <c r="G250" s="63">
        <v>1</v>
      </c>
      <c r="H250" s="62" t="s">
        <v>49</v>
      </c>
      <c r="I250" s="62" t="s">
        <v>510</v>
      </c>
      <c r="J250" s="66">
        <v>35383.552633982079</v>
      </c>
      <c r="K250" s="533" t="s">
        <v>91</v>
      </c>
      <c r="L250" s="68">
        <f>AE250</f>
        <v>34167.26</v>
      </c>
      <c r="M250" s="63"/>
      <c r="N250" s="392">
        <f t="shared" ref="N250:N287" si="285">VALUE(RIGHT(O250,4))</f>
        <v>2009</v>
      </c>
      <c r="O250" s="382" t="s">
        <v>1454</v>
      </c>
      <c r="P250" s="68">
        <v>12161.76</v>
      </c>
      <c r="Q250" s="68">
        <v>0</v>
      </c>
      <c r="R250" s="68">
        <v>12161.76</v>
      </c>
      <c r="S250" s="68">
        <f t="shared" ref="S250:S256" si="286">IF(R250&gt;0,R250,IF(P250&gt;0,P250,0))</f>
        <v>12161.76</v>
      </c>
      <c r="T250" s="63"/>
      <c r="U250" s="385" t="s">
        <v>1455</v>
      </c>
      <c r="V250" s="370">
        <v>30002</v>
      </c>
      <c r="W250" s="370">
        <v>0</v>
      </c>
      <c r="X250" s="370">
        <v>30002</v>
      </c>
      <c r="Y250" s="68">
        <f t="shared" ref="Y250:Y287" si="287">IF(X250&gt;0,X250,IF(V250&gt;0,V250,0))</f>
        <v>30002</v>
      </c>
      <c r="Z250" s="345" t="s">
        <v>1076</v>
      </c>
      <c r="AA250" s="541" t="s">
        <v>511</v>
      </c>
      <c r="AB250" s="345">
        <v>30000.06</v>
      </c>
      <c r="AC250" s="345">
        <v>2967.08</v>
      </c>
      <c r="AD250" s="345">
        <v>34167.26</v>
      </c>
      <c r="AE250" s="68">
        <f t="shared" ref="AE250:AE287" si="288">IF(AD250&gt;0,AD250,IF(AB250&gt;0,AB250,0))</f>
        <v>34167.26</v>
      </c>
      <c r="AF250" s="364">
        <v>2021</v>
      </c>
      <c r="AG250" s="344"/>
      <c r="AH250" s="84">
        <v>35656.06296487365</v>
      </c>
      <c r="AI250" s="63"/>
      <c r="AJ250" s="63"/>
      <c r="AK250" s="63" t="str">
        <f t="shared" ref="AK250:AK287" si="289">CONCATENATE(M250,T250,Z250)</f>
        <v>V</v>
      </c>
      <c r="AL250" s="47"/>
      <c r="AM250" s="63" t="str">
        <f t="shared" ref="AM250:AM287" si="290">IF(N250=0,"3",IF(N250&lt;=2018,"2","1"))</f>
        <v>2</v>
      </c>
      <c r="AN250" s="63" t="str">
        <f t="shared" ref="AN250:AN287" si="291">IF(S250&gt;0,"1","2")</f>
        <v>1</v>
      </c>
      <c r="AO250" s="63"/>
      <c r="AP250" s="346" t="str">
        <f t="shared" ref="AP250:AP287" si="292">IF(Y250&gt;0,"1",IF(AE250&gt;0,"1","2"))</f>
        <v>1</v>
      </c>
      <c r="AQ250" s="63" t="str">
        <f t="shared" ref="AQ250:AQ287" si="293">CONCATENATE(AM250,".",AN250,".",AO250,".",AP250)</f>
        <v>2.1..1</v>
      </c>
      <c r="AR250" s="534"/>
      <c r="AS250" s="64" t="s">
        <v>2119</v>
      </c>
      <c r="AT250" s="95">
        <v>35383.550000000003</v>
      </c>
      <c r="AU250" s="95">
        <v>32967.14</v>
      </c>
      <c r="AV250" s="371">
        <f>AU250/AT250</f>
        <v>0.9317080959937597</v>
      </c>
      <c r="AW250" s="95">
        <v>29659</v>
      </c>
      <c r="AX250" s="371"/>
      <c r="AY250" s="95">
        <v>5724</v>
      </c>
      <c r="AZ250" s="371"/>
      <c r="BA250" s="47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</row>
    <row r="251" spans="1:68" ht="20.25" customHeight="1">
      <c r="A251" s="100">
        <v>35</v>
      </c>
      <c r="B251" s="100" t="s">
        <v>49</v>
      </c>
      <c r="C251" s="100" t="s">
        <v>2120</v>
      </c>
      <c r="D251" s="102" t="s">
        <v>512</v>
      </c>
      <c r="E251" s="100" t="str">
        <f t="shared" si="0"/>
        <v>Sama</v>
      </c>
      <c r="F251" s="63">
        <f t="shared" si="284"/>
        <v>231</v>
      </c>
      <c r="G251" s="63">
        <v>2</v>
      </c>
      <c r="H251" s="62" t="s">
        <v>49</v>
      </c>
      <c r="I251" s="62" t="s">
        <v>512</v>
      </c>
      <c r="J251" s="66">
        <v>68095.010552074964</v>
      </c>
      <c r="K251" s="533" t="s">
        <v>104</v>
      </c>
      <c r="L251" s="68">
        <f>IF(S251&gt;0,S251,IF(Y251&gt;0,Y251,IF(AE251&gt;0,AE251,0)))</f>
        <v>61841</v>
      </c>
      <c r="M251" s="63"/>
      <c r="N251" s="392">
        <f t="shared" si="285"/>
        <v>2012</v>
      </c>
      <c r="O251" s="382" t="s">
        <v>223</v>
      </c>
      <c r="P251" s="68">
        <v>61841</v>
      </c>
      <c r="Q251" s="68">
        <v>0</v>
      </c>
      <c r="R251" s="68">
        <v>61841</v>
      </c>
      <c r="S251" s="68">
        <f t="shared" si="286"/>
        <v>61841</v>
      </c>
      <c r="T251" s="63"/>
      <c r="U251" s="347"/>
      <c r="V251" s="370"/>
      <c r="W251" s="370"/>
      <c r="X251" s="370"/>
      <c r="Y251" s="68">
        <f t="shared" si="287"/>
        <v>0</v>
      </c>
      <c r="Z251" s="345"/>
      <c r="AA251" s="347"/>
      <c r="AB251" s="345"/>
      <c r="AC251" s="345"/>
      <c r="AD251" s="345"/>
      <c r="AE251" s="68">
        <f t="shared" si="288"/>
        <v>0</v>
      </c>
      <c r="AF251" s="366">
        <v>2021</v>
      </c>
      <c r="AG251" s="358"/>
      <c r="AH251" s="359">
        <v>66816.363997773835</v>
      </c>
      <c r="AI251" s="360"/>
      <c r="AJ251" s="360"/>
      <c r="AK251" s="360" t="str">
        <f t="shared" si="289"/>
        <v/>
      </c>
      <c r="AL251" s="18"/>
      <c r="AM251" s="360" t="str">
        <f t="shared" si="290"/>
        <v>2</v>
      </c>
      <c r="AN251" s="360" t="str">
        <f t="shared" si="291"/>
        <v>1</v>
      </c>
      <c r="AO251" s="360"/>
      <c r="AP251" s="346" t="str">
        <f t="shared" si="292"/>
        <v>2</v>
      </c>
      <c r="AQ251" s="360" t="str">
        <f t="shared" si="293"/>
        <v>2.1..2</v>
      </c>
      <c r="AR251" s="530"/>
      <c r="AS251" s="360"/>
      <c r="AT251" s="362"/>
      <c r="AU251" s="362"/>
      <c r="AV251" s="362"/>
      <c r="AW251" s="362"/>
      <c r="AX251" s="362"/>
      <c r="AY251" s="362"/>
      <c r="AZ251" s="362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</row>
    <row r="252" spans="1:68" ht="20.25" customHeight="1">
      <c r="A252" s="100">
        <v>35</v>
      </c>
      <c r="B252" s="100" t="s">
        <v>49</v>
      </c>
      <c r="C252" s="100" t="s">
        <v>2121</v>
      </c>
      <c r="D252" s="102" t="s">
        <v>514</v>
      </c>
      <c r="E252" s="100" t="str">
        <f t="shared" si="0"/>
        <v>Sama</v>
      </c>
      <c r="F252" s="63">
        <f t="shared" si="284"/>
        <v>232</v>
      </c>
      <c r="G252" s="63">
        <v>3</v>
      </c>
      <c r="H252" s="62" t="s">
        <v>49</v>
      </c>
      <c r="I252" s="62" t="s">
        <v>514</v>
      </c>
      <c r="J252" s="66">
        <v>32552.653635475821</v>
      </c>
      <c r="K252" s="533" t="s">
        <v>91</v>
      </c>
      <c r="L252" s="68">
        <f>AE252</f>
        <v>37827.370000000003</v>
      </c>
      <c r="M252" s="63"/>
      <c r="N252" s="392">
        <f t="shared" si="285"/>
        <v>2013</v>
      </c>
      <c r="O252" s="382" t="s">
        <v>1318</v>
      </c>
      <c r="P252" s="68">
        <v>28403.32</v>
      </c>
      <c r="Q252" s="68">
        <v>0</v>
      </c>
      <c r="R252" s="68">
        <v>28403.32</v>
      </c>
      <c r="S252" s="68">
        <f t="shared" si="286"/>
        <v>28403.32</v>
      </c>
      <c r="T252" s="63"/>
      <c r="U252" s="347"/>
      <c r="V252" s="370"/>
      <c r="W252" s="370"/>
      <c r="X252" s="370"/>
      <c r="Y252" s="68">
        <f t="shared" si="287"/>
        <v>0</v>
      </c>
      <c r="Z252" s="345" t="s">
        <v>1076</v>
      </c>
      <c r="AA252" s="537" t="s">
        <v>515</v>
      </c>
      <c r="AB252" s="345">
        <v>35264.18</v>
      </c>
      <c r="AC252" s="345">
        <v>2563.19</v>
      </c>
      <c r="AD252" s="345">
        <v>37827.370000000003</v>
      </c>
      <c r="AE252" s="68">
        <f t="shared" si="288"/>
        <v>37827.370000000003</v>
      </c>
      <c r="AF252" s="364">
        <v>2022</v>
      </c>
      <c r="AG252" s="344"/>
      <c r="AH252" s="84">
        <v>31612.227530814525</v>
      </c>
      <c r="AI252" s="63"/>
      <c r="AJ252" s="63"/>
      <c r="AK252" s="63" t="str">
        <f t="shared" si="289"/>
        <v>V</v>
      </c>
      <c r="AL252" s="47"/>
      <c r="AM252" s="63" t="str">
        <f t="shared" si="290"/>
        <v>2</v>
      </c>
      <c r="AN252" s="63" t="str">
        <f t="shared" si="291"/>
        <v>1</v>
      </c>
      <c r="AO252" s="63"/>
      <c r="AP252" s="346" t="str">
        <f t="shared" si="292"/>
        <v>1</v>
      </c>
      <c r="AQ252" s="63" t="str">
        <f t="shared" si="293"/>
        <v>2.1..1</v>
      </c>
      <c r="AR252" s="534"/>
      <c r="AS252" s="64" t="s">
        <v>2122</v>
      </c>
      <c r="AT252" s="95">
        <v>32552.65</v>
      </c>
      <c r="AU252" s="95">
        <v>37827.370000000003</v>
      </c>
      <c r="AV252" s="371">
        <f>AU252/AT252</f>
        <v>1.1620365776672561</v>
      </c>
      <c r="AW252" s="95">
        <v>29172.26</v>
      </c>
      <c r="AX252" s="371">
        <f>AW252/AT252</f>
        <v>0.89615622691240182</v>
      </c>
      <c r="AY252" s="95">
        <v>3380.4</v>
      </c>
      <c r="AZ252" s="371">
        <f>AY252/AT252</f>
        <v>0.10384408028225045</v>
      </c>
      <c r="BA252" s="47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</row>
    <row r="253" spans="1:68" ht="20.25" customHeight="1">
      <c r="A253" s="100">
        <v>35</v>
      </c>
      <c r="B253" s="100" t="s">
        <v>49</v>
      </c>
      <c r="C253" s="100" t="s">
        <v>2123</v>
      </c>
      <c r="D253" s="102" t="s">
        <v>516</v>
      </c>
      <c r="E253" s="100" t="str">
        <f t="shared" si="0"/>
        <v>Sama</v>
      </c>
      <c r="F253" s="63">
        <f t="shared" si="284"/>
        <v>233</v>
      </c>
      <c r="G253" s="63">
        <v>4</v>
      </c>
      <c r="H253" s="62" t="s">
        <v>49</v>
      </c>
      <c r="I253" s="62" t="s">
        <v>516</v>
      </c>
      <c r="J253" s="66">
        <v>83197.421457319535</v>
      </c>
      <c r="K253" s="533" t="s">
        <v>104</v>
      </c>
      <c r="L253" s="68">
        <f t="shared" ref="L253:L254" si="294">IF(S253&gt;0,S253,IF(Y253&gt;0,Y253,IF(AE253&gt;0,AE253,0)))</f>
        <v>43178</v>
      </c>
      <c r="M253" s="63"/>
      <c r="N253" s="392">
        <f t="shared" si="285"/>
        <v>2021</v>
      </c>
      <c r="O253" s="382" t="s">
        <v>304</v>
      </c>
      <c r="P253" s="68">
        <v>43178</v>
      </c>
      <c r="Q253" s="68">
        <v>0</v>
      </c>
      <c r="R253" s="68">
        <v>43178</v>
      </c>
      <c r="S253" s="68">
        <f t="shared" si="286"/>
        <v>43178</v>
      </c>
      <c r="T253" s="63"/>
      <c r="U253" s="347"/>
      <c r="V253" s="370"/>
      <c r="W253" s="370"/>
      <c r="X253" s="370"/>
      <c r="Y253" s="68">
        <f t="shared" si="287"/>
        <v>0</v>
      </c>
      <c r="Z253" s="345"/>
      <c r="AA253" s="347"/>
      <c r="AB253" s="345"/>
      <c r="AC253" s="345"/>
      <c r="AD253" s="345"/>
      <c r="AE253" s="68">
        <f t="shared" si="288"/>
        <v>0</v>
      </c>
      <c r="AF253" s="366">
        <v>2021</v>
      </c>
      <c r="AG253" s="358"/>
      <c r="AH253" s="359">
        <v>93054.379346003203</v>
      </c>
      <c r="AI253" s="360"/>
      <c r="AJ253" s="360"/>
      <c r="AK253" s="360" t="str">
        <f t="shared" si="289"/>
        <v/>
      </c>
      <c r="AL253" s="18"/>
      <c r="AM253" s="360" t="str">
        <f t="shared" si="290"/>
        <v>1</v>
      </c>
      <c r="AN253" s="360" t="str">
        <f t="shared" si="291"/>
        <v>1</v>
      </c>
      <c r="AO253" s="360"/>
      <c r="AP253" s="346" t="str">
        <f t="shared" si="292"/>
        <v>2</v>
      </c>
      <c r="AQ253" s="360" t="str">
        <f t="shared" si="293"/>
        <v>1.1..2</v>
      </c>
      <c r="AR253" s="530"/>
      <c r="AS253" s="360"/>
      <c r="AT253" s="362"/>
      <c r="AU253" s="362"/>
      <c r="AV253" s="362"/>
      <c r="AW253" s="362"/>
      <c r="AX253" s="362"/>
      <c r="AY253" s="362"/>
      <c r="AZ253" s="362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</row>
    <row r="254" spans="1:68" ht="20.25" customHeight="1">
      <c r="A254" s="100">
        <v>35</v>
      </c>
      <c r="B254" s="100" t="s">
        <v>49</v>
      </c>
      <c r="C254" s="100" t="s">
        <v>2124</v>
      </c>
      <c r="D254" s="102" t="s">
        <v>517</v>
      </c>
      <c r="E254" s="100" t="str">
        <f t="shared" si="0"/>
        <v>Sama</v>
      </c>
      <c r="F254" s="63">
        <f t="shared" si="284"/>
        <v>234</v>
      </c>
      <c r="G254" s="63">
        <v>5</v>
      </c>
      <c r="H254" s="62" t="s">
        <v>49</v>
      </c>
      <c r="I254" s="62" t="s">
        <v>517</v>
      </c>
      <c r="J254" s="66">
        <v>35758.413210953091</v>
      </c>
      <c r="K254" s="533" t="s">
        <v>104</v>
      </c>
      <c r="L254" s="68">
        <f t="shared" si="294"/>
        <v>47293.1</v>
      </c>
      <c r="M254" s="63"/>
      <c r="N254" s="392">
        <f t="shared" si="285"/>
        <v>2011</v>
      </c>
      <c r="O254" s="382" t="s">
        <v>405</v>
      </c>
      <c r="P254" s="68">
        <v>47293.1</v>
      </c>
      <c r="Q254" s="68">
        <v>0</v>
      </c>
      <c r="R254" s="68">
        <v>47293.1</v>
      </c>
      <c r="S254" s="68">
        <f t="shared" si="286"/>
        <v>47293.1</v>
      </c>
      <c r="T254" s="63"/>
      <c r="U254" s="347"/>
      <c r="V254" s="370"/>
      <c r="W254" s="370"/>
      <c r="X254" s="370"/>
      <c r="Y254" s="68">
        <f t="shared" si="287"/>
        <v>0</v>
      </c>
      <c r="Z254" s="345"/>
      <c r="AA254" s="347"/>
      <c r="AB254" s="345"/>
      <c r="AC254" s="345"/>
      <c r="AD254" s="345"/>
      <c r="AE254" s="68">
        <f t="shared" si="288"/>
        <v>0</v>
      </c>
      <c r="AF254" s="366">
        <v>2023</v>
      </c>
      <c r="AG254" s="358" t="s">
        <v>1160</v>
      </c>
      <c r="AH254" s="359">
        <v>35532.975629820066</v>
      </c>
      <c r="AI254" s="360"/>
      <c r="AJ254" s="360"/>
      <c r="AK254" s="360" t="str">
        <f t="shared" si="289"/>
        <v/>
      </c>
      <c r="AL254" s="18"/>
      <c r="AM254" s="360" t="str">
        <f t="shared" si="290"/>
        <v>2</v>
      </c>
      <c r="AN254" s="360" t="str">
        <f t="shared" si="291"/>
        <v>1</v>
      </c>
      <c r="AO254" s="360"/>
      <c r="AP254" s="346" t="str">
        <f t="shared" si="292"/>
        <v>2</v>
      </c>
      <c r="AQ254" s="360" t="str">
        <f t="shared" si="293"/>
        <v>2.1..2</v>
      </c>
      <c r="AR254" s="530"/>
      <c r="AS254" s="360"/>
      <c r="AT254" s="362"/>
      <c r="AU254" s="362"/>
      <c r="AV254" s="362"/>
      <c r="AW254" s="362"/>
      <c r="AX254" s="362"/>
      <c r="AY254" s="362"/>
      <c r="AZ254" s="362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</row>
    <row r="255" spans="1:68" ht="20.25" customHeight="1">
      <c r="A255" s="100">
        <v>35</v>
      </c>
      <c r="B255" s="100" t="s">
        <v>49</v>
      </c>
      <c r="C255" s="100" t="s">
        <v>2125</v>
      </c>
      <c r="D255" s="102" t="s">
        <v>519</v>
      </c>
      <c r="E255" s="100" t="str">
        <f t="shared" si="0"/>
        <v>Sama</v>
      </c>
      <c r="F255" s="63">
        <f t="shared" si="284"/>
        <v>235</v>
      </c>
      <c r="G255" s="63">
        <v>6</v>
      </c>
      <c r="H255" s="62" t="s">
        <v>49</v>
      </c>
      <c r="I255" s="62" t="s">
        <v>519</v>
      </c>
      <c r="J255" s="66">
        <v>41212.394951748516</v>
      </c>
      <c r="K255" s="533" t="s">
        <v>91</v>
      </c>
      <c r="L255" s="68">
        <f>Y255</f>
        <v>24716</v>
      </c>
      <c r="M255" s="63"/>
      <c r="N255" s="392">
        <f t="shared" si="285"/>
        <v>2011</v>
      </c>
      <c r="O255" s="382" t="s">
        <v>1278</v>
      </c>
      <c r="P255" s="68">
        <v>10346</v>
      </c>
      <c r="Q255" s="68">
        <v>0</v>
      </c>
      <c r="R255" s="68">
        <v>10346</v>
      </c>
      <c r="S255" s="68">
        <f t="shared" si="286"/>
        <v>10346</v>
      </c>
      <c r="T255" s="63" t="s">
        <v>1076</v>
      </c>
      <c r="U255" s="385" t="s">
        <v>1461</v>
      </c>
      <c r="V255" s="370">
        <v>24716</v>
      </c>
      <c r="W255" s="370">
        <v>0</v>
      </c>
      <c r="X255" s="370">
        <v>24716</v>
      </c>
      <c r="Y255" s="68">
        <f t="shared" si="287"/>
        <v>24716</v>
      </c>
      <c r="Z255" s="345"/>
      <c r="AA255" s="385"/>
      <c r="AB255" s="345"/>
      <c r="AC255" s="345"/>
      <c r="AD255" s="345"/>
      <c r="AE255" s="68">
        <f t="shared" si="288"/>
        <v>0</v>
      </c>
      <c r="AF255" s="366">
        <v>2020</v>
      </c>
      <c r="AG255" s="358"/>
      <c r="AH255" s="359">
        <v>39939.402520329881</v>
      </c>
      <c r="AI255" s="360"/>
      <c r="AJ255" s="360"/>
      <c r="AK255" s="360" t="str">
        <f t="shared" si="289"/>
        <v>V</v>
      </c>
      <c r="AL255" s="18"/>
      <c r="AM255" s="360" t="str">
        <f t="shared" si="290"/>
        <v>2</v>
      </c>
      <c r="AN255" s="360" t="str">
        <f t="shared" si="291"/>
        <v>1</v>
      </c>
      <c r="AO255" s="360"/>
      <c r="AP255" s="346" t="str">
        <f t="shared" si="292"/>
        <v>1</v>
      </c>
      <c r="AQ255" s="360" t="str">
        <f t="shared" si="293"/>
        <v>2.1..1</v>
      </c>
      <c r="AR255" s="530"/>
      <c r="AS255" s="362" t="s">
        <v>520</v>
      </c>
      <c r="AT255" s="367">
        <v>41212</v>
      </c>
      <c r="AU255" s="367">
        <v>27735</v>
      </c>
      <c r="AV255" s="368">
        <f t="shared" ref="AV255:AV259" si="295">AU255/AT255</f>
        <v>0.67298359701057942</v>
      </c>
      <c r="AW255" s="367">
        <v>17778</v>
      </c>
      <c r="AX255" s="368">
        <f t="shared" ref="AX255:AX257" si="296">AW255/AT255</f>
        <v>0.43137920993885276</v>
      </c>
      <c r="AY255" s="367">
        <v>23461</v>
      </c>
      <c r="AZ255" s="368">
        <f t="shared" ref="AZ255:AZ257" si="297">AY255/AT255</f>
        <v>0.56927593904687956</v>
      </c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</row>
    <row r="256" spans="1:68" ht="20.25" customHeight="1">
      <c r="A256" s="100">
        <v>35</v>
      </c>
      <c r="B256" s="100" t="s">
        <v>49</v>
      </c>
      <c r="C256" s="100" t="s">
        <v>2126</v>
      </c>
      <c r="D256" s="102" t="s">
        <v>521</v>
      </c>
      <c r="E256" s="100" t="str">
        <f t="shared" si="0"/>
        <v>Sama</v>
      </c>
      <c r="F256" s="63">
        <f t="shared" si="284"/>
        <v>236</v>
      </c>
      <c r="G256" s="63">
        <v>7</v>
      </c>
      <c r="H256" s="62" t="s">
        <v>49</v>
      </c>
      <c r="I256" s="62" t="s">
        <v>521</v>
      </c>
      <c r="J256" s="66">
        <v>80122.58130171895</v>
      </c>
      <c r="K256" s="533" t="s">
        <v>91</v>
      </c>
      <c r="L256" s="68">
        <f>AE256</f>
        <v>86358.6</v>
      </c>
      <c r="M256" s="63"/>
      <c r="N256" s="392">
        <f t="shared" si="285"/>
        <v>2015</v>
      </c>
      <c r="O256" s="382" t="s">
        <v>669</v>
      </c>
      <c r="P256" s="68">
        <v>81081</v>
      </c>
      <c r="Q256" s="68">
        <v>0</v>
      </c>
      <c r="R256" s="68">
        <v>81081</v>
      </c>
      <c r="S256" s="68">
        <f t="shared" si="286"/>
        <v>81081</v>
      </c>
      <c r="T256" s="63"/>
      <c r="U256" s="347"/>
      <c r="V256" s="370"/>
      <c r="W256" s="370"/>
      <c r="X256" s="370"/>
      <c r="Y256" s="68">
        <f t="shared" si="287"/>
        <v>0</v>
      </c>
      <c r="Z256" s="345" t="s">
        <v>1076</v>
      </c>
      <c r="AA256" s="536" t="s">
        <v>522</v>
      </c>
      <c r="AB256" s="403">
        <v>86358.6</v>
      </c>
      <c r="AC256" s="345"/>
      <c r="AD256" s="345">
        <f>AB256</f>
        <v>86358.6</v>
      </c>
      <c r="AE256" s="68">
        <f t="shared" si="288"/>
        <v>86358.6</v>
      </c>
      <c r="AF256" s="364">
        <v>2022</v>
      </c>
      <c r="AG256" s="344"/>
      <c r="AH256" s="84">
        <v>77969.714713964495</v>
      </c>
      <c r="AI256" s="63"/>
      <c r="AJ256" s="63"/>
      <c r="AK256" s="63" t="str">
        <f t="shared" si="289"/>
        <v>V</v>
      </c>
      <c r="AL256" s="47"/>
      <c r="AM256" s="63" t="str">
        <f t="shared" si="290"/>
        <v>2</v>
      </c>
      <c r="AN256" s="63" t="str">
        <f t="shared" si="291"/>
        <v>1</v>
      </c>
      <c r="AO256" s="63"/>
      <c r="AP256" s="346" t="str">
        <f t="shared" si="292"/>
        <v>1</v>
      </c>
      <c r="AQ256" s="63" t="str">
        <f t="shared" si="293"/>
        <v>2.1..1</v>
      </c>
      <c r="AR256" s="534"/>
      <c r="AS256" s="64" t="s">
        <v>2127</v>
      </c>
      <c r="AT256" s="95">
        <v>80122.58</v>
      </c>
      <c r="AU256" s="95">
        <v>86358.6</v>
      </c>
      <c r="AV256" s="371">
        <f t="shared" si="295"/>
        <v>1.0778309934602706</v>
      </c>
      <c r="AW256" s="95">
        <v>75424.509999999995</v>
      </c>
      <c r="AX256" s="371">
        <f t="shared" si="296"/>
        <v>0.94136397005688022</v>
      </c>
      <c r="AY256" s="95">
        <v>4698.07</v>
      </c>
      <c r="AZ256" s="371">
        <f t="shared" si="297"/>
        <v>5.8636029943119651E-2</v>
      </c>
      <c r="BA256" s="47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</row>
    <row r="257" spans="1:68" ht="20.25" customHeight="1">
      <c r="A257" s="100">
        <v>35</v>
      </c>
      <c r="B257" s="100" t="s">
        <v>49</v>
      </c>
      <c r="C257" s="100" t="s">
        <v>2128</v>
      </c>
      <c r="D257" s="102" t="s">
        <v>523</v>
      </c>
      <c r="E257" s="100" t="str">
        <f t="shared" si="0"/>
        <v>Sama</v>
      </c>
      <c r="F257" s="63">
        <f t="shared" si="284"/>
        <v>237</v>
      </c>
      <c r="G257" s="63">
        <v>8</v>
      </c>
      <c r="H257" s="62" t="s">
        <v>49</v>
      </c>
      <c r="I257" s="62" t="s">
        <v>523</v>
      </c>
      <c r="J257" s="66">
        <v>40668.700628725848</v>
      </c>
      <c r="K257" s="533" t="s">
        <v>91</v>
      </c>
      <c r="L257" s="68">
        <f>IF(S257&gt;0,S257,IF(Y257&gt;0,Y257,IF(AE257&gt;0,AE257,0)))</f>
        <v>38149</v>
      </c>
      <c r="M257" s="547" t="s">
        <v>1076</v>
      </c>
      <c r="N257" s="416">
        <f t="shared" si="285"/>
        <v>2021</v>
      </c>
      <c r="O257" s="548" t="s">
        <v>470</v>
      </c>
      <c r="P257" s="417">
        <v>0</v>
      </c>
      <c r="Q257" s="417">
        <v>0</v>
      </c>
      <c r="R257" s="417">
        <v>38149</v>
      </c>
      <c r="S257" s="68">
        <v>38149</v>
      </c>
      <c r="T257" s="63"/>
      <c r="U257" s="347"/>
      <c r="V257" s="370"/>
      <c r="W257" s="370"/>
      <c r="X257" s="370"/>
      <c r="Y257" s="68">
        <f t="shared" si="287"/>
        <v>0</v>
      </c>
      <c r="Z257" s="345"/>
      <c r="AA257" s="347"/>
      <c r="AB257" s="345"/>
      <c r="AC257" s="345"/>
      <c r="AD257" s="345"/>
      <c r="AE257" s="68">
        <f t="shared" si="288"/>
        <v>0</v>
      </c>
      <c r="AF257" s="364" t="s">
        <v>1464</v>
      </c>
      <c r="AG257" s="344"/>
      <c r="AH257" s="84">
        <v>42493.9207198043</v>
      </c>
      <c r="AI257" s="63"/>
      <c r="AJ257" s="63"/>
      <c r="AK257" s="63" t="str">
        <f t="shared" si="289"/>
        <v>V</v>
      </c>
      <c r="AL257" s="47"/>
      <c r="AM257" s="63" t="str">
        <f t="shared" si="290"/>
        <v>1</v>
      </c>
      <c r="AN257" s="63" t="str">
        <f t="shared" si="291"/>
        <v>1</v>
      </c>
      <c r="AO257" s="63"/>
      <c r="AP257" s="346" t="str">
        <f t="shared" si="292"/>
        <v>2</v>
      </c>
      <c r="AQ257" s="63" t="str">
        <f t="shared" si="293"/>
        <v>1.1..2</v>
      </c>
      <c r="AR257" s="534"/>
      <c r="AS257" s="538" t="str">
        <f>O257</f>
        <v>Perda No. 10 Tahun 2021</v>
      </c>
      <c r="AT257" s="95">
        <f>J257</f>
        <v>40668.700628725848</v>
      </c>
      <c r="AU257" s="95">
        <f>S257</f>
        <v>38149</v>
      </c>
      <c r="AV257" s="371">
        <f t="shared" si="295"/>
        <v>0.93804324726947175</v>
      </c>
      <c r="AW257" s="95">
        <v>31371.791795000001</v>
      </c>
      <c r="AX257" s="371">
        <f t="shared" si="296"/>
        <v>0.77139892128348242</v>
      </c>
      <c r="AY257" s="95">
        <f>AT257-AW257</f>
        <v>9296.9088337258472</v>
      </c>
      <c r="AZ257" s="371">
        <f t="shared" si="297"/>
        <v>0.22860107871651761</v>
      </c>
      <c r="BA257" s="47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</row>
    <row r="258" spans="1:68" ht="20.25" customHeight="1">
      <c r="A258" s="100">
        <v>35</v>
      </c>
      <c r="B258" s="100" t="s">
        <v>49</v>
      </c>
      <c r="C258" s="100" t="s">
        <v>2129</v>
      </c>
      <c r="D258" s="102" t="s">
        <v>524</v>
      </c>
      <c r="E258" s="100" t="str">
        <f t="shared" si="0"/>
        <v>Sama</v>
      </c>
      <c r="F258" s="63">
        <f t="shared" si="284"/>
        <v>238</v>
      </c>
      <c r="G258" s="63">
        <v>9</v>
      </c>
      <c r="H258" s="62" t="s">
        <v>49</v>
      </c>
      <c r="I258" s="62" t="s">
        <v>524</v>
      </c>
      <c r="J258" s="66">
        <v>44331.552932707651</v>
      </c>
      <c r="K258" s="533" t="s">
        <v>91</v>
      </c>
      <c r="L258" s="68">
        <f>Y258</f>
        <v>38317</v>
      </c>
      <c r="M258" s="63"/>
      <c r="N258" s="392">
        <f t="shared" si="285"/>
        <v>2011</v>
      </c>
      <c r="O258" s="382" t="s">
        <v>795</v>
      </c>
      <c r="P258" s="68">
        <v>42291</v>
      </c>
      <c r="Q258" s="68">
        <v>0</v>
      </c>
      <c r="R258" s="68">
        <v>42291</v>
      </c>
      <c r="S258" s="68">
        <f t="shared" ref="S258:S287" si="298">IF(R258&gt;0,R258,IF(P258&gt;0,P258,0))</f>
        <v>42291</v>
      </c>
      <c r="T258" s="63" t="s">
        <v>1076</v>
      </c>
      <c r="U258" s="385" t="s">
        <v>525</v>
      </c>
      <c r="V258" s="370">
        <v>38317</v>
      </c>
      <c r="W258" s="370">
        <v>5851</v>
      </c>
      <c r="X258" s="370"/>
      <c r="Y258" s="68">
        <f t="shared" si="287"/>
        <v>38317</v>
      </c>
      <c r="Z258" s="345" t="s">
        <v>1076</v>
      </c>
      <c r="AA258" s="385" t="s">
        <v>525</v>
      </c>
      <c r="AB258" s="345">
        <v>38317</v>
      </c>
      <c r="AC258" s="345">
        <v>5851</v>
      </c>
      <c r="AD258" s="345"/>
      <c r="AE258" s="68">
        <f t="shared" si="288"/>
        <v>38317</v>
      </c>
      <c r="AF258" s="364">
        <v>2021</v>
      </c>
      <c r="AG258" s="344"/>
      <c r="AH258" s="84">
        <v>43493.720393207346</v>
      </c>
      <c r="AI258" s="63"/>
      <c r="AJ258" s="63"/>
      <c r="AK258" s="63" t="str">
        <f t="shared" si="289"/>
        <v>VV</v>
      </c>
      <c r="AL258" s="47"/>
      <c r="AM258" s="63" t="str">
        <f t="shared" si="290"/>
        <v>2</v>
      </c>
      <c r="AN258" s="63" t="str">
        <f t="shared" si="291"/>
        <v>1</v>
      </c>
      <c r="AO258" s="63"/>
      <c r="AP258" s="346" t="str">
        <f t="shared" si="292"/>
        <v>1</v>
      </c>
      <c r="AQ258" s="63" t="str">
        <f t="shared" si="293"/>
        <v>2.1..1</v>
      </c>
      <c r="AR258" s="534"/>
      <c r="AS258" s="64" t="s">
        <v>2130</v>
      </c>
      <c r="AT258" s="95">
        <v>44331.55</v>
      </c>
      <c r="AU258" s="95">
        <v>44168</v>
      </c>
      <c r="AV258" s="371">
        <f t="shared" si="295"/>
        <v>0.99631075385363244</v>
      </c>
      <c r="AW258" s="95">
        <v>33268</v>
      </c>
      <c r="AX258" s="371"/>
      <c r="AY258" s="95">
        <v>11063</v>
      </c>
      <c r="AZ258" s="371"/>
      <c r="BA258" s="47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</row>
    <row r="259" spans="1:68" ht="20.25" customHeight="1">
      <c r="A259" s="100">
        <v>35</v>
      </c>
      <c r="B259" s="100" t="s">
        <v>49</v>
      </c>
      <c r="C259" s="100" t="s">
        <v>2131</v>
      </c>
      <c r="D259" s="102" t="s">
        <v>526</v>
      </c>
      <c r="E259" s="100" t="str">
        <f t="shared" si="0"/>
        <v>Sama</v>
      </c>
      <c r="F259" s="63">
        <f t="shared" si="284"/>
        <v>239</v>
      </c>
      <c r="G259" s="63">
        <v>10</v>
      </c>
      <c r="H259" s="62" t="s">
        <v>49</v>
      </c>
      <c r="I259" s="62" t="s">
        <v>526</v>
      </c>
      <c r="J259" s="66">
        <v>1613.0549755605523</v>
      </c>
      <c r="K259" s="533" t="s">
        <v>91</v>
      </c>
      <c r="L259" s="68">
        <f t="shared" ref="L259:L275" si="299">IF(S259&gt;0,S259,IF(Y259&gt;0,Y259,IF(AE259&gt;0,AE259,0)))</f>
        <v>1252</v>
      </c>
      <c r="M259" s="63" t="s">
        <v>1076</v>
      </c>
      <c r="N259" s="392">
        <f t="shared" si="285"/>
        <v>2011</v>
      </c>
      <c r="O259" s="382" t="s">
        <v>1467</v>
      </c>
      <c r="P259" s="68">
        <v>1252</v>
      </c>
      <c r="Q259" s="68">
        <v>0</v>
      </c>
      <c r="R259" s="68">
        <v>1252</v>
      </c>
      <c r="S259" s="68">
        <f t="shared" si="298"/>
        <v>1252</v>
      </c>
      <c r="T259" s="63"/>
      <c r="U259" s="385" t="s">
        <v>1468</v>
      </c>
      <c r="V259" s="370">
        <v>1252</v>
      </c>
      <c r="W259" s="370">
        <v>0</v>
      </c>
      <c r="X259" s="370">
        <v>1252</v>
      </c>
      <c r="Y259" s="68">
        <f t="shared" si="287"/>
        <v>1252</v>
      </c>
      <c r="Z259" s="345"/>
      <c r="AA259" s="385"/>
      <c r="AB259" s="345"/>
      <c r="AC259" s="345"/>
      <c r="AD259" s="345"/>
      <c r="AE259" s="68">
        <f t="shared" si="288"/>
        <v>0</v>
      </c>
      <c r="AF259" s="364" t="s">
        <v>1097</v>
      </c>
      <c r="AG259" s="344"/>
      <c r="AH259" s="84">
        <v>684.39971365794838</v>
      </c>
      <c r="AI259" s="63"/>
      <c r="AJ259" s="63"/>
      <c r="AK259" s="63" t="str">
        <f t="shared" si="289"/>
        <v>V</v>
      </c>
      <c r="AL259" s="47"/>
      <c r="AM259" s="63" t="str">
        <f t="shared" si="290"/>
        <v>2</v>
      </c>
      <c r="AN259" s="63" t="str">
        <f t="shared" si="291"/>
        <v>1</v>
      </c>
      <c r="AO259" s="63"/>
      <c r="AP259" s="346" t="str">
        <f t="shared" si="292"/>
        <v>1</v>
      </c>
      <c r="AQ259" s="63" t="str">
        <f t="shared" si="293"/>
        <v>2.1..1</v>
      </c>
      <c r="AR259" s="534"/>
      <c r="AS259" s="347"/>
      <c r="AT259" s="95"/>
      <c r="AU259" s="95"/>
      <c r="AV259" s="371" t="e">
        <f t="shared" si="295"/>
        <v>#DIV/0!</v>
      </c>
      <c r="AW259" s="95"/>
      <c r="AX259" s="371" t="e">
        <f>AW259/AT259</f>
        <v>#DIV/0!</v>
      </c>
      <c r="AY259" s="95"/>
      <c r="AZ259" s="371" t="e">
        <f>AY259/AT259</f>
        <v>#DIV/0!</v>
      </c>
      <c r="BA259" s="47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</row>
    <row r="260" spans="1:68" ht="20.25" customHeight="1">
      <c r="A260" s="100">
        <v>35</v>
      </c>
      <c r="B260" s="100" t="s">
        <v>49</v>
      </c>
      <c r="C260" s="100" t="s">
        <v>2132</v>
      </c>
      <c r="D260" s="102" t="s">
        <v>528</v>
      </c>
      <c r="E260" s="100" t="str">
        <f t="shared" si="0"/>
        <v>Sama</v>
      </c>
      <c r="F260" s="63">
        <f t="shared" si="284"/>
        <v>240</v>
      </c>
      <c r="G260" s="63">
        <v>11</v>
      </c>
      <c r="H260" s="62" t="s">
        <v>49</v>
      </c>
      <c r="I260" s="62" t="s">
        <v>528</v>
      </c>
      <c r="J260" s="66">
        <v>936.54186489132246</v>
      </c>
      <c r="K260" s="533" t="s">
        <v>104</v>
      </c>
      <c r="L260" s="68">
        <f t="shared" si="299"/>
        <v>677</v>
      </c>
      <c r="M260" s="63"/>
      <c r="N260" s="392">
        <f t="shared" si="285"/>
        <v>2011</v>
      </c>
      <c r="O260" s="382" t="s">
        <v>405</v>
      </c>
      <c r="P260" s="68">
        <v>677</v>
      </c>
      <c r="Q260" s="68">
        <v>0</v>
      </c>
      <c r="R260" s="68">
        <v>677</v>
      </c>
      <c r="S260" s="68">
        <f t="shared" si="298"/>
        <v>677</v>
      </c>
      <c r="T260" s="63"/>
      <c r="U260" s="347"/>
      <c r="V260" s="370"/>
      <c r="W260" s="370"/>
      <c r="X260" s="370"/>
      <c r="Y260" s="68">
        <f t="shared" si="287"/>
        <v>0</v>
      </c>
      <c r="Z260" s="345"/>
      <c r="AA260" s="347"/>
      <c r="AB260" s="345"/>
      <c r="AC260" s="345"/>
      <c r="AD260" s="345"/>
      <c r="AE260" s="68">
        <f t="shared" si="288"/>
        <v>0</v>
      </c>
      <c r="AF260" s="366" t="s">
        <v>1097</v>
      </c>
      <c r="AG260" s="358"/>
      <c r="AH260" s="359">
        <v>933.90150727414664</v>
      </c>
      <c r="AI260" s="360"/>
      <c r="AJ260" s="360"/>
      <c r="AK260" s="360" t="str">
        <f t="shared" si="289"/>
        <v/>
      </c>
      <c r="AL260" s="18"/>
      <c r="AM260" s="360" t="str">
        <f t="shared" si="290"/>
        <v>2</v>
      </c>
      <c r="AN260" s="360" t="str">
        <f t="shared" si="291"/>
        <v>1</v>
      </c>
      <c r="AO260" s="360"/>
      <c r="AP260" s="346" t="str">
        <f t="shared" si="292"/>
        <v>2</v>
      </c>
      <c r="AQ260" s="360" t="str">
        <f t="shared" si="293"/>
        <v>2.1..2</v>
      </c>
      <c r="AR260" s="530"/>
      <c r="AS260" s="360"/>
      <c r="AT260" s="362"/>
      <c r="AU260" s="362"/>
      <c r="AV260" s="362"/>
      <c r="AW260" s="362"/>
      <c r="AX260" s="362"/>
      <c r="AY260" s="362"/>
      <c r="AZ260" s="362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</row>
    <row r="261" spans="1:68" ht="20.25" customHeight="1">
      <c r="A261" s="100">
        <v>35</v>
      </c>
      <c r="B261" s="100" t="s">
        <v>49</v>
      </c>
      <c r="C261" s="100" t="s">
        <v>2133</v>
      </c>
      <c r="D261" s="102" t="s">
        <v>529</v>
      </c>
      <c r="E261" s="100" t="str">
        <f t="shared" ref="E261:E515" si="300">IF(I261=D261,"Sama","Beda")</f>
        <v>Sama</v>
      </c>
      <c r="F261" s="63">
        <f t="shared" si="284"/>
        <v>241</v>
      </c>
      <c r="G261" s="63">
        <v>12</v>
      </c>
      <c r="H261" s="62" t="s">
        <v>49</v>
      </c>
      <c r="I261" s="62" t="s">
        <v>529</v>
      </c>
      <c r="J261" s="66">
        <v>1987.8947693763359</v>
      </c>
      <c r="K261" s="533" t="s">
        <v>104</v>
      </c>
      <c r="L261" s="68">
        <f t="shared" si="299"/>
        <v>500</v>
      </c>
      <c r="M261" s="63"/>
      <c r="N261" s="392">
        <f t="shared" si="285"/>
        <v>2012</v>
      </c>
      <c r="O261" s="382" t="s">
        <v>315</v>
      </c>
      <c r="P261" s="68">
        <v>500</v>
      </c>
      <c r="Q261" s="68">
        <v>0</v>
      </c>
      <c r="R261" s="68">
        <v>500</v>
      </c>
      <c r="S261" s="68">
        <f t="shared" si="298"/>
        <v>500</v>
      </c>
      <c r="T261" s="63"/>
      <c r="U261" s="385" t="s">
        <v>1471</v>
      </c>
      <c r="V261" s="370">
        <v>509.95</v>
      </c>
      <c r="W261" s="370">
        <v>0</v>
      </c>
      <c r="X261" s="370">
        <v>509.95</v>
      </c>
      <c r="Y261" s="68">
        <f t="shared" si="287"/>
        <v>509.95</v>
      </c>
      <c r="Z261" s="345"/>
      <c r="AA261" s="385"/>
      <c r="AB261" s="345"/>
      <c r="AC261" s="345"/>
      <c r="AD261" s="345"/>
      <c r="AE261" s="68">
        <f t="shared" si="288"/>
        <v>0</v>
      </c>
      <c r="AF261" s="366" t="s">
        <v>1097</v>
      </c>
      <c r="AG261" s="358"/>
      <c r="AH261" s="359">
        <v>1847.1324727030749</v>
      </c>
      <c r="AI261" s="360"/>
      <c r="AJ261" s="360"/>
      <c r="AK261" s="360" t="str">
        <f t="shared" si="289"/>
        <v/>
      </c>
      <c r="AL261" s="18"/>
      <c r="AM261" s="360" t="str">
        <f t="shared" si="290"/>
        <v>2</v>
      </c>
      <c r="AN261" s="360" t="str">
        <f t="shared" si="291"/>
        <v>1</v>
      </c>
      <c r="AO261" s="360"/>
      <c r="AP261" s="346" t="str">
        <f t="shared" si="292"/>
        <v>1</v>
      </c>
      <c r="AQ261" s="360" t="str">
        <f t="shared" si="293"/>
        <v>2.1..1</v>
      </c>
      <c r="AR261" s="530"/>
      <c r="AS261" s="360"/>
      <c r="AT261" s="362"/>
      <c r="AU261" s="362"/>
      <c r="AV261" s="362"/>
      <c r="AW261" s="362"/>
      <c r="AX261" s="362"/>
      <c r="AY261" s="362"/>
      <c r="AZ261" s="362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</row>
    <row r="262" spans="1:68" ht="20.25" customHeight="1">
      <c r="A262" s="100">
        <v>35</v>
      </c>
      <c r="B262" s="100" t="s">
        <v>49</v>
      </c>
      <c r="C262" s="100" t="s">
        <v>2134</v>
      </c>
      <c r="D262" s="102" t="s">
        <v>530</v>
      </c>
      <c r="E262" s="100" t="str">
        <f t="shared" si="300"/>
        <v>Sama</v>
      </c>
      <c r="F262" s="63">
        <f t="shared" si="284"/>
        <v>242</v>
      </c>
      <c r="G262" s="63">
        <v>13</v>
      </c>
      <c r="H262" s="62" t="s">
        <v>49</v>
      </c>
      <c r="I262" s="62" t="s">
        <v>530</v>
      </c>
      <c r="J262" s="66">
        <v>1062.1723245994547</v>
      </c>
      <c r="K262" s="533" t="s">
        <v>104</v>
      </c>
      <c r="L262" s="68">
        <f t="shared" si="299"/>
        <v>444</v>
      </c>
      <c r="M262" s="63"/>
      <c r="N262" s="392">
        <f t="shared" si="285"/>
        <v>2011</v>
      </c>
      <c r="O262" s="382" t="s">
        <v>1431</v>
      </c>
      <c r="P262" s="68">
        <v>444</v>
      </c>
      <c r="Q262" s="68">
        <v>0</v>
      </c>
      <c r="R262" s="68">
        <v>444</v>
      </c>
      <c r="S262" s="68">
        <f t="shared" si="298"/>
        <v>444</v>
      </c>
      <c r="T262" s="63"/>
      <c r="U262" s="347"/>
      <c r="V262" s="370"/>
      <c r="W262" s="370"/>
      <c r="X262" s="370"/>
      <c r="Y262" s="68">
        <f t="shared" si="287"/>
        <v>0</v>
      </c>
      <c r="Z262" s="345"/>
      <c r="AA262" s="347"/>
      <c r="AB262" s="345"/>
      <c r="AC262" s="345"/>
      <c r="AD262" s="345"/>
      <c r="AE262" s="68">
        <f t="shared" si="288"/>
        <v>0</v>
      </c>
      <c r="AF262" s="366" t="s">
        <v>1097</v>
      </c>
      <c r="AG262" s="358"/>
      <c r="AH262" s="359">
        <v>973.07701794421212</v>
      </c>
      <c r="AI262" s="360"/>
      <c r="AJ262" s="360"/>
      <c r="AK262" s="360" t="str">
        <f t="shared" si="289"/>
        <v/>
      </c>
      <c r="AL262" s="18"/>
      <c r="AM262" s="360" t="str">
        <f t="shared" si="290"/>
        <v>2</v>
      </c>
      <c r="AN262" s="360" t="str">
        <f t="shared" si="291"/>
        <v>1</v>
      </c>
      <c r="AO262" s="360"/>
      <c r="AP262" s="346" t="str">
        <f t="shared" si="292"/>
        <v>2</v>
      </c>
      <c r="AQ262" s="360" t="str">
        <f t="shared" si="293"/>
        <v>2.1..2</v>
      </c>
      <c r="AR262" s="530"/>
      <c r="AS262" s="360"/>
      <c r="AT262" s="362"/>
      <c r="AU262" s="362"/>
      <c r="AV262" s="362"/>
      <c r="AW262" s="362"/>
      <c r="AX262" s="362"/>
      <c r="AY262" s="362"/>
      <c r="AZ262" s="362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</row>
    <row r="263" spans="1:68" ht="20.25" customHeight="1">
      <c r="A263" s="100">
        <v>35</v>
      </c>
      <c r="B263" s="100" t="s">
        <v>49</v>
      </c>
      <c r="C263" s="100" t="s">
        <v>2135</v>
      </c>
      <c r="D263" s="102" t="s">
        <v>531</v>
      </c>
      <c r="E263" s="100" t="str">
        <f t="shared" si="300"/>
        <v>Sama</v>
      </c>
      <c r="F263" s="63">
        <f t="shared" si="284"/>
        <v>243</v>
      </c>
      <c r="G263" s="63">
        <v>14</v>
      </c>
      <c r="H263" s="62" t="s">
        <v>49</v>
      </c>
      <c r="I263" s="62" t="s">
        <v>531</v>
      </c>
      <c r="J263" s="66">
        <v>1215.959613843077</v>
      </c>
      <c r="K263" s="533" t="s">
        <v>661</v>
      </c>
      <c r="L263" s="68">
        <f t="shared" si="299"/>
        <v>0</v>
      </c>
      <c r="M263" s="63"/>
      <c r="N263" s="392" t="e">
        <f t="shared" si="285"/>
        <v>#VALUE!</v>
      </c>
      <c r="O263" s="382"/>
      <c r="P263" s="68"/>
      <c r="Q263" s="68"/>
      <c r="R263" s="68"/>
      <c r="S263" s="68">
        <f t="shared" si="298"/>
        <v>0</v>
      </c>
      <c r="T263" s="63"/>
      <c r="U263" s="347"/>
      <c r="V263" s="370"/>
      <c r="W263" s="370"/>
      <c r="X263" s="370"/>
      <c r="Y263" s="68">
        <f t="shared" si="287"/>
        <v>0</v>
      </c>
      <c r="Z263" s="345"/>
      <c r="AA263" s="347"/>
      <c r="AB263" s="345"/>
      <c r="AC263" s="345"/>
      <c r="AD263" s="345"/>
      <c r="AE263" s="68">
        <f t="shared" si="288"/>
        <v>0</v>
      </c>
      <c r="AF263" s="366" t="s">
        <v>1097</v>
      </c>
      <c r="AG263" s="358"/>
      <c r="AH263" s="359">
        <v>1012.0432391550631</v>
      </c>
      <c r="AI263" s="360"/>
      <c r="AJ263" s="360"/>
      <c r="AK263" s="360" t="str">
        <f t="shared" si="289"/>
        <v/>
      </c>
      <c r="AL263" s="18"/>
      <c r="AM263" s="360" t="e">
        <f t="shared" si="290"/>
        <v>#VALUE!</v>
      </c>
      <c r="AN263" s="360" t="str">
        <f t="shared" si="291"/>
        <v>2</v>
      </c>
      <c r="AO263" s="360"/>
      <c r="AP263" s="346" t="str">
        <f t="shared" si="292"/>
        <v>2</v>
      </c>
      <c r="AQ263" s="360" t="e">
        <f t="shared" si="293"/>
        <v>#VALUE!</v>
      </c>
      <c r="AR263" s="530"/>
      <c r="AS263" s="360"/>
      <c r="AT263" s="362"/>
      <c r="AU263" s="362"/>
      <c r="AV263" s="362"/>
      <c r="AW263" s="362"/>
      <c r="AX263" s="362"/>
      <c r="AY263" s="362"/>
      <c r="AZ263" s="362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</row>
    <row r="264" spans="1:68" ht="20.25" customHeight="1">
      <c r="A264" s="100">
        <v>35</v>
      </c>
      <c r="B264" s="100" t="s">
        <v>49</v>
      </c>
      <c r="C264" s="100" t="s">
        <v>2136</v>
      </c>
      <c r="D264" s="102" t="s">
        <v>532</v>
      </c>
      <c r="E264" s="100" t="str">
        <f t="shared" si="300"/>
        <v>Sama</v>
      </c>
      <c r="F264" s="63">
        <f t="shared" si="284"/>
        <v>244</v>
      </c>
      <c r="G264" s="63">
        <v>15</v>
      </c>
      <c r="H264" s="62" t="s">
        <v>49</v>
      </c>
      <c r="I264" s="62" t="s">
        <v>532</v>
      </c>
      <c r="J264" s="66">
        <v>439.03397320838656</v>
      </c>
      <c r="K264" s="533" t="s">
        <v>104</v>
      </c>
      <c r="L264" s="68">
        <f t="shared" si="299"/>
        <v>104.25</v>
      </c>
      <c r="M264" s="63"/>
      <c r="N264" s="392">
        <f t="shared" si="285"/>
        <v>2012</v>
      </c>
      <c r="O264" s="382" t="s">
        <v>432</v>
      </c>
      <c r="P264" s="68">
        <v>104.25</v>
      </c>
      <c r="Q264" s="68">
        <v>0</v>
      </c>
      <c r="R264" s="68">
        <v>104.25</v>
      </c>
      <c r="S264" s="68">
        <f t="shared" si="298"/>
        <v>104.25</v>
      </c>
      <c r="T264" s="63"/>
      <c r="U264" s="347"/>
      <c r="V264" s="370"/>
      <c r="W264" s="370"/>
      <c r="X264" s="370"/>
      <c r="Y264" s="68">
        <f t="shared" si="287"/>
        <v>0</v>
      </c>
      <c r="Z264" s="345"/>
      <c r="AA264" s="347"/>
      <c r="AB264" s="345"/>
      <c r="AC264" s="345"/>
      <c r="AD264" s="345"/>
      <c r="AE264" s="68">
        <f t="shared" si="288"/>
        <v>0</v>
      </c>
      <c r="AF264" s="366" t="s">
        <v>1097</v>
      </c>
      <c r="AG264" s="358"/>
      <c r="AH264" s="359">
        <v>354.65660151063628</v>
      </c>
      <c r="AI264" s="360"/>
      <c r="AJ264" s="360"/>
      <c r="AK264" s="360" t="str">
        <f t="shared" si="289"/>
        <v/>
      </c>
      <c r="AL264" s="18"/>
      <c r="AM264" s="360" t="str">
        <f t="shared" si="290"/>
        <v>2</v>
      </c>
      <c r="AN264" s="360" t="str">
        <f t="shared" si="291"/>
        <v>1</v>
      </c>
      <c r="AO264" s="360"/>
      <c r="AP264" s="346" t="str">
        <f t="shared" si="292"/>
        <v>2</v>
      </c>
      <c r="AQ264" s="360" t="str">
        <f t="shared" si="293"/>
        <v>2.1..2</v>
      </c>
      <c r="AR264" s="530"/>
      <c r="AS264" s="360"/>
      <c r="AT264" s="362"/>
      <c r="AU264" s="362"/>
      <c r="AV264" s="362"/>
      <c r="AW264" s="362"/>
      <c r="AX264" s="362"/>
      <c r="AY264" s="362"/>
      <c r="AZ264" s="362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</row>
    <row r="265" spans="1:68" ht="20.25" customHeight="1">
      <c r="A265" s="100">
        <v>35</v>
      </c>
      <c r="B265" s="100" t="s">
        <v>49</v>
      </c>
      <c r="C265" s="100" t="s">
        <v>2137</v>
      </c>
      <c r="D265" s="102" t="s">
        <v>533</v>
      </c>
      <c r="E265" s="100" t="str">
        <f t="shared" si="300"/>
        <v>Sama</v>
      </c>
      <c r="F265" s="63">
        <f t="shared" si="284"/>
        <v>245</v>
      </c>
      <c r="G265" s="63">
        <v>16</v>
      </c>
      <c r="H265" s="62" t="s">
        <v>49</v>
      </c>
      <c r="I265" s="62" t="s">
        <v>533</v>
      </c>
      <c r="J265" s="66">
        <v>888.4012934805487</v>
      </c>
      <c r="K265" s="533" t="s">
        <v>104</v>
      </c>
      <c r="L265" s="68">
        <f t="shared" si="299"/>
        <v>605</v>
      </c>
      <c r="M265" s="63"/>
      <c r="N265" s="392">
        <f t="shared" si="285"/>
        <v>2012</v>
      </c>
      <c r="O265" s="382" t="s">
        <v>315</v>
      </c>
      <c r="P265" s="68">
        <v>605</v>
      </c>
      <c r="Q265" s="68">
        <v>0</v>
      </c>
      <c r="R265" s="68">
        <v>605</v>
      </c>
      <c r="S265" s="68">
        <f t="shared" si="298"/>
        <v>605</v>
      </c>
      <c r="T265" s="63"/>
      <c r="U265" s="347"/>
      <c r="V265" s="370"/>
      <c r="W265" s="370"/>
      <c r="X265" s="370"/>
      <c r="Y265" s="68">
        <f t="shared" si="287"/>
        <v>0</v>
      </c>
      <c r="Z265" s="345"/>
      <c r="AA265" s="347"/>
      <c r="AB265" s="345"/>
      <c r="AC265" s="345"/>
      <c r="AD265" s="345"/>
      <c r="AE265" s="68">
        <f t="shared" si="288"/>
        <v>0</v>
      </c>
      <c r="AF265" s="366" t="s">
        <v>1097</v>
      </c>
      <c r="AG265" s="358"/>
      <c r="AH265" s="359">
        <v>983.45589060690929</v>
      </c>
      <c r="AI265" s="360"/>
      <c r="AJ265" s="360"/>
      <c r="AK265" s="360" t="str">
        <f t="shared" si="289"/>
        <v/>
      </c>
      <c r="AL265" s="18"/>
      <c r="AM265" s="360" t="str">
        <f t="shared" si="290"/>
        <v>2</v>
      </c>
      <c r="AN265" s="360" t="str">
        <f t="shared" si="291"/>
        <v>1</v>
      </c>
      <c r="AO265" s="360"/>
      <c r="AP265" s="346" t="str">
        <f t="shared" si="292"/>
        <v>2</v>
      </c>
      <c r="AQ265" s="360" t="str">
        <f t="shared" si="293"/>
        <v>2.1..2</v>
      </c>
      <c r="AR265" s="530"/>
      <c r="AS265" s="360"/>
      <c r="AT265" s="362"/>
      <c r="AU265" s="362"/>
      <c r="AV265" s="362"/>
      <c r="AW265" s="362"/>
      <c r="AX265" s="362"/>
      <c r="AY265" s="362"/>
      <c r="AZ265" s="362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</row>
    <row r="266" spans="1:68" ht="20.25" customHeight="1">
      <c r="A266" s="100">
        <v>35</v>
      </c>
      <c r="B266" s="100" t="s">
        <v>49</v>
      </c>
      <c r="C266" s="100" t="s">
        <v>2138</v>
      </c>
      <c r="D266" s="102" t="s">
        <v>534</v>
      </c>
      <c r="E266" s="100" t="str">
        <f t="shared" si="300"/>
        <v>Sama</v>
      </c>
      <c r="F266" s="63">
        <f t="shared" si="284"/>
        <v>246</v>
      </c>
      <c r="G266" s="63">
        <v>17</v>
      </c>
      <c r="H266" s="62" t="s">
        <v>49</v>
      </c>
      <c r="I266" s="62" t="s">
        <v>534</v>
      </c>
      <c r="J266" s="66">
        <v>2231.6048976267548</v>
      </c>
      <c r="K266" s="533" t="s">
        <v>91</v>
      </c>
      <c r="L266" s="68">
        <f t="shared" si="299"/>
        <v>1099</v>
      </c>
      <c r="M266" s="63" t="s">
        <v>1076</v>
      </c>
      <c r="N266" s="365">
        <f t="shared" si="285"/>
        <v>2020</v>
      </c>
      <c r="O266" s="347" t="s">
        <v>262</v>
      </c>
      <c r="P266" s="370">
        <v>1099</v>
      </c>
      <c r="Q266" s="370">
        <v>0</v>
      </c>
      <c r="R266" s="370">
        <v>1099</v>
      </c>
      <c r="S266" s="68">
        <f t="shared" si="298"/>
        <v>1099</v>
      </c>
      <c r="T266" s="63"/>
      <c r="U266" s="347"/>
      <c r="V266" s="370"/>
      <c r="W266" s="370"/>
      <c r="X266" s="370"/>
      <c r="Y266" s="68">
        <f t="shared" si="287"/>
        <v>0</v>
      </c>
      <c r="Z266" s="345"/>
      <c r="AA266" s="347"/>
      <c r="AB266" s="345"/>
      <c r="AC266" s="345"/>
      <c r="AD266" s="345"/>
      <c r="AE266" s="68">
        <f t="shared" si="288"/>
        <v>0</v>
      </c>
      <c r="AF266" s="366">
        <v>2020</v>
      </c>
      <c r="AG266" s="358"/>
      <c r="AH266" s="359">
        <v>2069.9713681840822</v>
      </c>
      <c r="AI266" s="360"/>
      <c r="AJ266" s="360"/>
      <c r="AK266" s="360" t="str">
        <f t="shared" si="289"/>
        <v>V</v>
      </c>
      <c r="AL266" s="18"/>
      <c r="AM266" s="360" t="str">
        <f t="shared" si="290"/>
        <v>1</v>
      </c>
      <c r="AN266" s="360" t="str">
        <f t="shared" si="291"/>
        <v>1</v>
      </c>
      <c r="AO266" s="360"/>
      <c r="AP266" s="346" t="str">
        <f t="shared" si="292"/>
        <v>2</v>
      </c>
      <c r="AQ266" s="360" t="str">
        <f t="shared" si="293"/>
        <v>1.1..2</v>
      </c>
      <c r="AR266" s="530"/>
      <c r="AS266" s="362" t="s">
        <v>2139</v>
      </c>
      <c r="AT266" s="367">
        <v>2232</v>
      </c>
      <c r="AU266" s="367">
        <v>1099</v>
      </c>
      <c r="AV266" s="368">
        <f>AU266/AT266</f>
        <v>0.49238351254480289</v>
      </c>
      <c r="AW266" s="367">
        <v>1058</v>
      </c>
      <c r="AX266" s="368">
        <f>AW266/AT266</f>
        <v>0.47401433691756273</v>
      </c>
      <c r="AY266" s="367">
        <v>1173</v>
      </c>
      <c r="AZ266" s="368">
        <f>AY266/AT266</f>
        <v>0.52553763440860213</v>
      </c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</row>
    <row r="267" spans="1:68" ht="20.25" customHeight="1">
      <c r="A267" s="100">
        <v>35</v>
      </c>
      <c r="B267" s="100" t="s">
        <v>49</v>
      </c>
      <c r="C267" s="100" t="s">
        <v>2140</v>
      </c>
      <c r="D267" s="102" t="s">
        <v>535</v>
      </c>
      <c r="E267" s="100" t="str">
        <f t="shared" si="300"/>
        <v>Sama</v>
      </c>
      <c r="F267" s="63">
        <f t="shared" si="284"/>
        <v>247</v>
      </c>
      <c r="G267" s="63">
        <v>18</v>
      </c>
      <c r="H267" s="62" t="s">
        <v>49</v>
      </c>
      <c r="I267" s="62" t="s">
        <v>535</v>
      </c>
      <c r="J267" s="66">
        <v>2226.0435262682659</v>
      </c>
      <c r="K267" s="533" t="s">
        <v>661</v>
      </c>
      <c r="L267" s="68">
        <f t="shared" si="299"/>
        <v>0</v>
      </c>
      <c r="M267" s="63"/>
      <c r="N267" s="365" t="e">
        <f t="shared" si="285"/>
        <v>#VALUE!</v>
      </c>
      <c r="O267" s="347"/>
      <c r="P267" s="370"/>
      <c r="Q267" s="370"/>
      <c r="R267" s="370"/>
      <c r="S267" s="68">
        <f t="shared" si="298"/>
        <v>0</v>
      </c>
      <c r="T267" s="63"/>
      <c r="U267" s="347"/>
      <c r="V267" s="370"/>
      <c r="W267" s="370"/>
      <c r="X267" s="370"/>
      <c r="Y267" s="68">
        <f t="shared" si="287"/>
        <v>0</v>
      </c>
      <c r="Z267" s="345"/>
      <c r="AA267" s="347"/>
      <c r="AB267" s="345"/>
      <c r="AC267" s="345"/>
      <c r="AD267" s="345"/>
      <c r="AE267" s="68">
        <f t="shared" si="288"/>
        <v>0</v>
      </c>
      <c r="AF267" s="366" t="s">
        <v>1097</v>
      </c>
      <c r="AG267" s="358"/>
      <c r="AH267" s="359">
        <v>1200.3823819623171</v>
      </c>
      <c r="AI267" s="360"/>
      <c r="AJ267" s="360"/>
      <c r="AK267" s="360" t="str">
        <f t="shared" si="289"/>
        <v/>
      </c>
      <c r="AL267" s="18"/>
      <c r="AM267" s="360" t="e">
        <f t="shared" si="290"/>
        <v>#VALUE!</v>
      </c>
      <c r="AN267" s="360" t="str">
        <f t="shared" si="291"/>
        <v>2</v>
      </c>
      <c r="AO267" s="360"/>
      <c r="AP267" s="346" t="str">
        <f t="shared" si="292"/>
        <v>2</v>
      </c>
      <c r="AQ267" s="360" t="e">
        <f t="shared" si="293"/>
        <v>#VALUE!</v>
      </c>
      <c r="AR267" s="530"/>
      <c r="AS267" s="360"/>
      <c r="AT267" s="362"/>
      <c r="AU267" s="362"/>
      <c r="AV267" s="362"/>
      <c r="AW267" s="362"/>
      <c r="AX267" s="362"/>
      <c r="AY267" s="362"/>
      <c r="AZ267" s="362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</row>
    <row r="268" spans="1:68" ht="20.25" customHeight="1">
      <c r="A268" s="100">
        <v>35</v>
      </c>
      <c r="B268" s="100" t="s">
        <v>49</v>
      </c>
      <c r="C268" s="100" t="s">
        <v>2141</v>
      </c>
      <c r="D268" s="102" t="s">
        <v>537</v>
      </c>
      <c r="E268" s="100" t="str">
        <f t="shared" si="300"/>
        <v>Sama</v>
      </c>
      <c r="F268" s="63">
        <f t="shared" si="284"/>
        <v>248</v>
      </c>
      <c r="G268" s="63">
        <v>19</v>
      </c>
      <c r="H268" s="62" t="s">
        <v>49</v>
      </c>
      <c r="I268" s="62" t="s">
        <v>537</v>
      </c>
      <c r="J268" s="66">
        <v>99386.965617747657</v>
      </c>
      <c r="K268" s="533" t="s">
        <v>91</v>
      </c>
      <c r="L268" s="68">
        <f t="shared" si="299"/>
        <v>53384</v>
      </c>
      <c r="M268" s="63" t="s">
        <v>1076</v>
      </c>
      <c r="N268" s="365">
        <f t="shared" si="285"/>
        <v>2021</v>
      </c>
      <c r="O268" s="347" t="s">
        <v>265</v>
      </c>
      <c r="P268" s="370">
        <v>45851</v>
      </c>
      <c r="Q268" s="370">
        <v>0</v>
      </c>
      <c r="R268" s="370">
        <v>53384</v>
      </c>
      <c r="S268" s="68">
        <f t="shared" si="298"/>
        <v>53384</v>
      </c>
      <c r="T268" s="63"/>
      <c r="U268" s="385" t="s">
        <v>1479</v>
      </c>
      <c r="V268" s="370">
        <v>45841</v>
      </c>
      <c r="W268" s="370">
        <v>0</v>
      </c>
      <c r="X268" s="370">
        <v>45841</v>
      </c>
      <c r="Y268" s="68">
        <f t="shared" si="287"/>
        <v>45841</v>
      </c>
      <c r="Z268" s="345"/>
      <c r="AA268" s="385"/>
      <c r="AB268" s="345"/>
      <c r="AC268" s="345"/>
      <c r="AD268" s="345"/>
      <c r="AE268" s="68">
        <f t="shared" si="288"/>
        <v>0</v>
      </c>
      <c r="AF268" s="366">
        <v>2020</v>
      </c>
      <c r="AG268" s="358"/>
      <c r="AH268" s="359">
        <v>98481.918243155626</v>
      </c>
      <c r="AI268" s="360"/>
      <c r="AJ268" s="360"/>
      <c r="AK268" s="360" t="str">
        <f t="shared" si="289"/>
        <v>V</v>
      </c>
      <c r="AL268" s="18"/>
      <c r="AM268" s="360" t="str">
        <f t="shared" si="290"/>
        <v>1</v>
      </c>
      <c r="AN268" s="360" t="str">
        <f t="shared" si="291"/>
        <v>1</v>
      </c>
      <c r="AO268" s="360"/>
      <c r="AP268" s="346" t="str">
        <f t="shared" si="292"/>
        <v>1</v>
      </c>
      <c r="AQ268" s="360" t="str">
        <f t="shared" si="293"/>
        <v>1.1..1</v>
      </c>
      <c r="AR268" s="530"/>
      <c r="AS268" s="362" t="s">
        <v>265</v>
      </c>
      <c r="AT268" s="367">
        <v>99387</v>
      </c>
      <c r="AU268" s="367">
        <v>53399</v>
      </c>
      <c r="AV268" s="368">
        <f t="shared" ref="AV268:AV270" si="301">AU268/AT268</f>
        <v>0.53728354815016044</v>
      </c>
      <c r="AW268" s="367">
        <v>49248</v>
      </c>
      <c r="AX268" s="368">
        <f t="shared" ref="AX268:AX269" si="302">AW268/AT268</f>
        <v>0.49551752241238795</v>
      </c>
      <c r="AY268" s="367">
        <v>50139</v>
      </c>
      <c r="AZ268" s="368">
        <f t="shared" ref="AZ268:AZ269" si="303">AY268/AT268</f>
        <v>0.50448247758761211</v>
      </c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</row>
    <row r="269" spans="1:68" ht="20.25" customHeight="1">
      <c r="A269" s="100">
        <v>35</v>
      </c>
      <c r="B269" s="100" t="s">
        <v>49</v>
      </c>
      <c r="C269" s="100" t="s">
        <v>2142</v>
      </c>
      <c r="D269" s="102" t="s">
        <v>538</v>
      </c>
      <c r="E269" s="100" t="str">
        <f t="shared" si="300"/>
        <v>Sama</v>
      </c>
      <c r="F269" s="63">
        <f t="shared" si="284"/>
        <v>249</v>
      </c>
      <c r="G269" s="63">
        <v>20</v>
      </c>
      <c r="H269" s="62" t="s">
        <v>49</v>
      </c>
      <c r="I269" s="62" t="s">
        <v>538</v>
      </c>
      <c r="J269" s="66">
        <v>34597.324484821533</v>
      </c>
      <c r="K269" s="533" t="s">
        <v>91</v>
      </c>
      <c r="L269" s="68">
        <f t="shared" si="299"/>
        <v>32323</v>
      </c>
      <c r="M269" s="63"/>
      <c r="N269" s="392">
        <f t="shared" si="285"/>
        <v>2013</v>
      </c>
      <c r="O269" s="382" t="s">
        <v>167</v>
      </c>
      <c r="P269" s="68">
        <v>32323</v>
      </c>
      <c r="Q269" s="68">
        <v>0</v>
      </c>
      <c r="R269" s="68">
        <v>32323</v>
      </c>
      <c r="S269" s="68">
        <f t="shared" si="298"/>
        <v>32323</v>
      </c>
      <c r="T269" s="63" t="s">
        <v>1076</v>
      </c>
      <c r="U269" s="385" t="s">
        <v>1481</v>
      </c>
      <c r="V269" s="370">
        <v>32331.83</v>
      </c>
      <c r="W269" s="370">
        <v>0</v>
      </c>
      <c r="X269" s="370">
        <v>32331.83</v>
      </c>
      <c r="Y269" s="68">
        <f t="shared" si="287"/>
        <v>32331.83</v>
      </c>
      <c r="Z269" s="345"/>
      <c r="AA269" s="385"/>
      <c r="AB269" s="345"/>
      <c r="AC269" s="345"/>
      <c r="AD269" s="345"/>
      <c r="AE269" s="68">
        <f t="shared" si="288"/>
        <v>0</v>
      </c>
      <c r="AF269" s="366">
        <v>2020</v>
      </c>
      <c r="AG269" s="358"/>
      <c r="AH269" s="359">
        <v>28302.807971886814</v>
      </c>
      <c r="AI269" s="360"/>
      <c r="AJ269" s="360"/>
      <c r="AK269" s="360" t="str">
        <f t="shared" si="289"/>
        <v>V</v>
      </c>
      <c r="AL269" s="18"/>
      <c r="AM269" s="360" t="str">
        <f t="shared" si="290"/>
        <v>2</v>
      </c>
      <c r="AN269" s="360" t="str">
        <f t="shared" si="291"/>
        <v>1</v>
      </c>
      <c r="AO269" s="360"/>
      <c r="AP269" s="346" t="str">
        <f t="shared" si="292"/>
        <v>1</v>
      </c>
      <c r="AQ269" s="360" t="str">
        <f t="shared" si="293"/>
        <v>2.1..1</v>
      </c>
      <c r="AR269" s="530"/>
      <c r="AS269" s="362" t="s">
        <v>412</v>
      </c>
      <c r="AT269" s="367">
        <v>34597</v>
      </c>
      <c r="AU269" s="367">
        <v>26454</v>
      </c>
      <c r="AV269" s="368">
        <f t="shared" si="301"/>
        <v>0.7646327716275978</v>
      </c>
      <c r="AW269" s="367">
        <v>18448</v>
      </c>
      <c r="AX269" s="368">
        <f t="shared" si="302"/>
        <v>0.53322542416972574</v>
      </c>
      <c r="AY269" s="367">
        <v>16201</v>
      </c>
      <c r="AZ269" s="368">
        <f t="shared" si="303"/>
        <v>0.46827759632338062</v>
      </c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</row>
    <row r="270" spans="1:68" ht="20.25" customHeight="1">
      <c r="A270" s="100">
        <v>35</v>
      </c>
      <c r="B270" s="100" t="s">
        <v>49</v>
      </c>
      <c r="C270" s="100" t="s">
        <v>2143</v>
      </c>
      <c r="D270" s="102" t="s">
        <v>539</v>
      </c>
      <c r="E270" s="100" t="str">
        <f t="shared" si="300"/>
        <v>Sama</v>
      </c>
      <c r="F270" s="63">
        <f t="shared" si="284"/>
        <v>250</v>
      </c>
      <c r="G270" s="63">
        <v>21</v>
      </c>
      <c r="H270" s="62" t="s">
        <v>49</v>
      </c>
      <c r="I270" s="418" t="s">
        <v>539</v>
      </c>
      <c r="J270" s="66">
        <v>31542.070511842423</v>
      </c>
      <c r="K270" s="533" t="s">
        <v>91</v>
      </c>
      <c r="L270" s="68">
        <f t="shared" si="299"/>
        <v>21587</v>
      </c>
      <c r="M270" s="63"/>
      <c r="N270" s="392" t="e">
        <f t="shared" si="285"/>
        <v>#VALUE!</v>
      </c>
      <c r="O270" s="382"/>
      <c r="P270" s="68"/>
      <c r="Q270" s="68"/>
      <c r="R270" s="68"/>
      <c r="S270" s="68">
        <f t="shared" si="298"/>
        <v>0</v>
      </c>
      <c r="T270" s="63"/>
      <c r="U270" s="385"/>
      <c r="V270" s="370"/>
      <c r="W270" s="370"/>
      <c r="X270" s="370"/>
      <c r="Y270" s="68">
        <f t="shared" si="287"/>
        <v>0</v>
      </c>
      <c r="Z270" s="345" t="s">
        <v>1076</v>
      </c>
      <c r="AA270" s="385" t="s">
        <v>1483</v>
      </c>
      <c r="AB270" s="345">
        <v>21587</v>
      </c>
      <c r="AC270" s="345">
        <v>0</v>
      </c>
      <c r="AD270" s="345">
        <v>21587</v>
      </c>
      <c r="AE270" s="68">
        <f t="shared" si="288"/>
        <v>21587</v>
      </c>
      <c r="AF270" s="364">
        <v>2021</v>
      </c>
      <c r="AG270" s="344"/>
      <c r="AH270" s="84">
        <v>30662.609933278774</v>
      </c>
      <c r="AI270" s="63"/>
      <c r="AJ270" s="63"/>
      <c r="AK270" s="63" t="str">
        <f t="shared" si="289"/>
        <v>V</v>
      </c>
      <c r="AL270" s="47"/>
      <c r="AM270" s="63" t="e">
        <f t="shared" si="290"/>
        <v>#VALUE!</v>
      </c>
      <c r="AN270" s="63" t="str">
        <f t="shared" si="291"/>
        <v>2</v>
      </c>
      <c r="AO270" s="63"/>
      <c r="AP270" s="346" t="str">
        <f t="shared" si="292"/>
        <v>1</v>
      </c>
      <c r="AQ270" s="63" t="e">
        <f t="shared" si="293"/>
        <v>#VALUE!</v>
      </c>
      <c r="AR270" s="534"/>
      <c r="AS270" s="64" t="s">
        <v>2144</v>
      </c>
      <c r="AT270" s="95">
        <v>31542.07</v>
      </c>
      <c r="AU270" s="95">
        <v>21587.4</v>
      </c>
      <c r="AV270" s="371">
        <f t="shared" si="301"/>
        <v>0.6844002311833054</v>
      </c>
      <c r="AW270" s="95">
        <v>20121</v>
      </c>
      <c r="AX270" s="371"/>
      <c r="AY270" s="95">
        <v>11421</v>
      </c>
      <c r="AZ270" s="371"/>
      <c r="BA270" s="47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</row>
    <row r="271" spans="1:68" ht="20.25" customHeight="1">
      <c r="A271" s="100">
        <v>35</v>
      </c>
      <c r="B271" s="100" t="s">
        <v>49</v>
      </c>
      <c r="C271" s="100" t="s">
        <v>2145</v>
      </c>
      <c r="D271" s="102" t="s">
        <v>541</v>
      </c>
      <c r="E271" s="100" t="str">
        <f t="shared" si="300"/>
        <v>Sama</v>
      </c>
      <c r="F271" s="63">
        <f t="shared" si="284"/>
        <v>251</v>
      </c>
      <c r="G271" s="63">
        <v>22</v>
      </c>
      <c r="H271" s="62" t="s">
        <v>49</v>
      </c>
      <c r="I271" s="62" t="s">
        <v>541</v>
      </c>
      <c r="J271" s="66">
        <v>24742.728315061559</v>
      </c>
      <c r="K271" s="533" t="s">
        <v>104</v>
      </c>
      <c r="L271" s="68">
        <f t="shared" si="299"/>
        <v>19084</v>
      </c>
      <c r="M271" s="63"/>
      <c r="N271" s="392">
        <f t="shared" si="285"/>
        <v>2012</v>
      </c>
      <c r="O271" s="382" t="s">
        <v>1256</v>
      </c>
      <c r="P271" s="68">
        <v>19084</v>
      </c>
      <c r="Q271" s="68">
        <v>0</v>
      </c>
      <c r="R271" s="68">
        <v>19084</v>
      </c>
      <c r="S271" s="68">
        <f t="shared" si="298"/>
        <v>19084</v>
      </c>
      <c r="T271" s="63"/>
      <c r="U271" s="385" t="s">
        <v>1485</v>
      </c>
      <c r="V271" s="370">
        <v>19084</v>
      </c>
      <c r="W271" s="370">
        <v>0</v>
      </c>
      <c r="X271" s="370">
        <v>19084</v>
      </c>
      <c r="Y271" s="68">
        <f t="shared" si="287"/>
        <v>19084</v>
      </c>
      <c r="Z271" s="345"/>
      <c r="AA271" s="385"/>
      <c r="AB271" s="345"/>
      <c r="AC271" s="345"/>
      <c r="AD271" s="345"/>
      <c r="AE271" s="68">
        <f t="shared" si="288"/>
        <v>0</v>
      </c>
      <c r="AF271" s="366" t="s">
        <v>1129</v>
      </c>
      <c r="AG271" s="358" t="s">
        <v>1160</v>
      </c>
      <c r="AH271" s="359">
        <v>24696.152394729143</v>
      </c>
      <c r="AI271" s="360"/>
      <c r="AJ271" s="360"/>
      <c r="AK271" s="360" t="str">
        <f t="shared" si="289"/>
        <v/>
      </c>
      <c r="AL271" s="18"/>
      <c r="AM271" s="360" t="str">
        <f t="shared" si="290"/>
        <v>2</v>
      </c>
      <c r="AN271" s="360" t="str">
        <f t="shared" si="291"/>
        <v>1</v>
      </c>
      <c r="AO271" s="360"/>
      <c r="AP271" s="346" t="str">
        <f t="shared" si="292"/>
        <v>1</v>
      </c>
      <c r="AQ271" s="360" t="str">
        <f t="shared" si="293"/>
        <v>2.1..1</v>
      </c>
      <c r="AR271" s="530"/>
      <c r="AS271" s="360"/>
      <c r="AT271" s="362"/>
      <c r="AU271" s="362"/>
      <c r="AV271" s="362"/>
      <c r="AW271" s="362"/>
      <c r="AX271" s="362"/>
      <c r="AY271" s="362"/>
      <c r="AZ271" s="362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</row>
    <row r="272" spans="1:68" ht="20.25" customHeight="1">
      <c r="A272" s="100">
        <v>35</v>
      </c>
      <c r="B272" s="100" t="s">
        <v>49</v>
      </c>
      <c r="C272" s="100" t="s">
        <v>2146</v>
      </c>
      <c r="D272" s="102" t="s">
        <v>543</v>
      </c>
      <c r="E272" s="100" t="str">
        <f t="shared" si="300"/>
        <v>Sama</v>
      </c>
      <c r="F272" s="63">
        <f t="shared" si="284"/>
        <v>252</v>
      </c>
      <c r="G272" s="63">
        <v>23</v>
      </c>
      <c r="H272" s="62" t="s">
        <v>49</v>
      </c>
      <c r="I272" s="62" t="s">
        <v>543</v>
      </c>
      <c r="J272" s="66">
        <v>44374.849990227092</v>
      </c>
      <c r="K272" s="533" t="s">
        <v>104</v>
      </c>
      <c r="L272" s="68">
        <f t="shared" si="299"/>
        <v>33110.300000000003</v>
      </c>
      <c r="M272" s="63"/>
      <c r="N272" s="392">
        <f t="shared" si="285"/>
        <v>2010</v>
      </c>
      <c r="O272" s="382" t="s">
        <v>1487</v>
      </c>
      <c r="P272" s="68">
        <v>33110.300000000003</v>
      </c>
      <c r="Q272" s="68">
        <v>0</v>
      </c>
      <c r="R272" s="68">
        <v>33110.300000000003</v>
      </c>
      <c r="S272" s="68">
        <f t="shared" si="298"/>
        <v>33110.300000000003</v>
      </c>
      <c r="T272" s="63"/>
      <c r="U272" s="385" t="s">
        <v>1488</v>
      </c>
      <c r="V272" s="370">
        <v>45888.23</v>
      </c>
      <c r="W272" s="370">
        <v>0</v>
      </c>
      <c r="X272" s="370">
        <v>45888.23</v>
      </c>
      <c r="Y272" s="68">
        <f t="shared" si="287"/>
        <v>45888.23</v>
      </c>
      <c r="Z272" s="345"/>
      <c r="AA272" s="385"/>
      <c r="AB272" s="345"/>
      <c r="AC272" s="345"/>
      <c r="AD272" s="345"/>
      <c r="AE272" s="68">
        <f t="shared" si="288"/>
        <v>0</v>
      </c>
      <c r="AF272" s="366" t="s">
        <v>1129</v>
      </c>
      <c r="AG272" s="358" t="s">
        <v>1160</v>
      </c>
      <c r="AH272" s="359">
        <v>44368.78888055779</v>
      </c>
      <c r="AI272" s="360"/>
      <c r="AJ272" s="360"/>
      <c r="AK272" s="360" t="str">
        <f t="shared" si="289"/>
        <v/>
      </c>
      <c r="AL272" s="18"/>
      <c r="AM272" s="360" t="str">
        <f t="shared" si="290"/>
        <v>2</v>
      </c>
      <c r="AN272" s="360" t="str">
        <f t="shared" si="291"/>
        <v>1</v>
      </c>
      <c r="AO272" s="360"/>
      <c r="AP272" s="346" t="str">
        <f t="shared" si="292"/>
        <v>1</v>
      </c>
      <c r="AQ272" s="360" t="str">
        <f t="shared" si="293"/>
        <v>2.1..1</v>
      </c>
      <c r="AR272" s="530"/>
      <c r="AS272" s="360"/>
      <c r="AT272" s="362"/>
      <c r="AU272" s="362"/>
      <c r="AV272" s="362"/>
      <c r="AW272" s="362"/>
      <c r="AX272" s="362"/>
      <c r="AY272" s="362"/>
      <c r="AZ272" s="362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</row>
    <row r="273" spans="1:68" ht="20.25" customHeight="1">
      <c r="A273" s="100">
        <v>35</v>
      </c>
      <c r="B273" s="100" t="s">
        <v>49</v>
      </c>
      <c r="C273" s="100" t="s">
        <v>2147</v>
      </c>
      <c r="D273" s="102" t="s">
        <v>545</v>
      </c>
      <c r="E273" s="100" t="str">
        <f t="shared" si="300"/>
        <v>Sama</v>
      </c>
      <c r="F273" s="63">
        <f t="shared" si="284"/>
        <v>253</v>
      </c>
      <c r="G273" s="63">
        <v>24</v>
      </c>
      <c r="H273" s="62" t="s">
        <v>49</v>
      </c>
      <c r="I273" s="62" t="s">
        <v>545</v>
      </c>
      <c r="J273" s="66">
        <v>37246.608948481429</v>
      </c>
      <c r="K273" s="533" t="s">
        <v>104</v>
      </c>
      <c r="L273" s="68">
        <f t="shared" si="299"/>
        <v>27535</v>
      </c>
      <c r="M273" s="63"/>
      <c r="N273" s="392">
        <f t="shared" si="285"/>
        <v>2012</v>
      </c>
      <c r="O273" s="382" t="s">
        <v>546</v>
      </c>
      <c r="P273" s="68">
        <v>27535</v>
      </c>
      <c r="Q273" s="68">
        <v>0</v>
      </c>
      <c r="R273" s="68">
        <v>27535</v>
      </c>
      <c r="S273" s="68">
        <f t="shared" si="298"/>
        <v>27535</v>
      </c>
      <c r="T273" s="63"/>
      <c r="U273" s="385" t="s">
        <v>1490</v>
      </c>
      <c r="V273" s="370">
        <v>27535</v>
      </c>
      <c r="W273" s="370">
        <v>0</v>
      </c>
      <c r="X273" s="370">
        <v>27535</v>
      </c>
      <c r="Y273" s="68">
        <f t="shared" si="287"/>
        <v>27535</v>
      </c>
      <c r="Z273" s="345"/>
      <c r="AA273" s="385"/>
      <c r="AB273" s="345"/>
      <c r="AC273" s="345"/>
      <c r="AD273" s="345"/>
      <c r="AE273" s="68">
        <f t="shared" si="288"/>
        <v>0</v>
      </c>
      <c r="AF273" s="366" t="s">
        <v>1129</v>
      </c>
      <c r="AG273" s="358" t="s">
        <v>1160</v>
      </c>
      <c r="AH273" s="359">
        <v>37060.974605969343</v>
      </c>
      <c r="AI273" s="360"/>
      <c r="AJ273" s="360"/>
      <c r="AK273" s="360" t="str">
        <f t="shared" si="289"/>
        <v/>
      </c>
      <c r="AL273" s="18"/>
      <c r="AM273" s="360" t="str">
        <f t="shared" si="290"/>
        <v>2</v>
      </c>
      <c r="AN273" s="360" t="str">
        <f t="shared" si="291"/>
        <v>1</v>
      </c>
      <c r="AO273" s="360"/>
      <c r="AP273" s="346" t="str">
        <f t="shared" si="292"/>
        <v>1</v>
      </c>
      <c r="AQ273" s="360" t="str">
        <f t="shared" si="293"/>
        <v>2.1..1</v>
      </c>
      <c r="AR273" s="530"/>
      <c r="AS273" s="347"/>
      <c r="AT273" s="362"/>
      <c r="AU273" s="362"/>
      <c r="AV273" s="362"/>
      <c r="AW273" s="362"/>
      <c r="AX273" s="362"/>
      <c r="AY273" s="362"/>
      <c r="AZ273" s="362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</row>
    <row r="274" spans="1:68" ht="20.25" customHeight="1">
      <c r="A274" s="100">
        <v>35</v>
      </c>
      <c r="B274" s="100" t="s">
        <v>49</v>
      </c>
      <c r="C274" s="100" t="s">
        <v>2148</v>
      </c>
      <c r="D274" s="102" t="s">
        <v>547</v>
      </c>
      <c r="E274" s="100" t="str">
        <f t="shared" si="300"/>
        <v>Sama</v>
      </c>
      <c r="F274" s="63">
        <f t="shared" si="284"/>
        <v>254</v>
      </c>
      <c r="G274" s="63">
        <v>25</v>
      </c>
      <c r="H274" s="62" t="s">
        <v>49</v>
      </c>
      <c r="I274" s="62" t="s">
        <v>547</v>
      </c>
      <c r="J274" s="66">
        <v>46173.978253620262</v>
      </c>
      <c r="K274" s="533" t="s">
        <v>91</v>
      </c>
      <c r="L274" s="68">
        <f t="shared" si="299"/>
        <v>27542</v>
      </c>
      <c r="M274" s="63" t="s">
        <v>1076</v>
      </c>
      <c r="N274" s="365">
        <f t="shared" si="285"/>
        <v>2021</v>
      </c>
      <c r="O274" s="347" t="s">
        <v>243</v>
      </c>
      <c r="P274" s="370"/>
      <c r="Q274" s="370">
        <v>0</v>
      </c>
      <c r="R274" s="370">
        <v>27542</v>
      </c>
      <c r="S274" s="68">
        <f t="shared" si="298"/>
        <v>27542</v>
      </c>
      <c r="T274" s="63"/>
      <c r="U274" s="347"/>
      <c r="V274" s="370"/>
      <c r="W274" s="370"/>
      <c r="X274" s="370"/>
      <c r="Y274" s="68">
        <f t="shared" si="287"/>
        <v>0</v>
      </c>
      <c r="Z274" s="345"/>
      <c r="AA274" s="347"/>
      <c r="AB274" s="345"/>
      <c r="AC274" s="345"/>
      <c r="AD274" s="345"/>
      <c r="AE274" s="68">
        <f t="shared" si="288"/>
        <v>0</v>
      </c>
      <c r="AF274" s="366" t="s">
        <v>1492</v>
      </c>
      <c r="AG274" s="358"/>
      <c r="AH274" s="359">
        <v>44772.040594429469</v>
      </c>
      <c r="AI274" s="360"/>
      <c r="AJ274" s="360"/>
      <c r="AK274" s="360" t="str">
        <f t="shared" si="289"/>
        <v>V</v>
      </c>
      <c r="AL274" s="18"/>
      <c r="AM274" s="360" t="str">
        <f t="shared" si="290"/>
        <v>1</v>
      </c>
      <c r="AN274" s="360" t="str">
        <f t="shared" si="291"/>
        <v>1</v>
      </c>
      <c r="AO274" s="360"/>
      <c r="AP274" s="346" t="str">
        <f t="shared" si="292"/>
        <v>2</v>
      </c>
      <c r="AQ274" s="360" t="str">
        <f t="shared" si="293"/>
        <v>1.1..2</v>
      </c>
      <c r="AR274" s="530"/>
      <c r="AS274" s="362" t="s">
        <v>932</v>
      </c>
      <c r="AT274" s="367">
        <v>46174</v>
      </c>
      <c r="AU274" s="367">
        <v>27556</v>
      </c>
      <c r="AV274" s="368">
        <f>AU274/AT274</f>
        <v>0.59678607008273055</v>
      </c>
      <c r="AW274" s="367">
        <v>27536</v>
      </c>
      <c r="AX274" s="368">
        <f>AW274/AT274</f>
        <v>0.59635292588902844</v>
      </c>
      <c r="AY274" s="367">
        <v>18628</v>
      </c>
      <c r="AZ274" s="368">
        <f>AY274/AT274</f>
        <v>0.40343050201412051</v>
      </c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</row>
    <row r="275" spans="1:68" ht="20.25" customHeight="1">
      <c r="A275" s="100">
        <v>35</v>
      </c>
      <c r="B275" s="100" t="s">
        <v>49</v>
      </c>
      <c r="C275" s="100" t="s">
        <v>2149</v>
      </c>
      <c r="D275" s="102" t="s">
        <v>548</v>
      </c>
      <c r="E275" s="100" t="str">
        <f t="shared" si="300"/>
        <v>Sama</v>
      </c>
      <c r="F275" s="63">
        <f t="shared" si="284"/>
        <v>255</v>
      </c>
      <c r="G275" s="63">
        <v>26</v>
      </c>
      <c r="H275" s="62" t="s">
        <v>49</v>
      </c>
      <c r="I275" s="62" t="s">
        <v>548</v>
      </c>
      <c r="J275" s="66">
        <v>50104.534118295516</v>
      </c>
      <c r="K275" s="533" t="s">
        <v>104</v>
      </c>
      <c r="L275" s="68">
        <f t="shared" si="299"/>
        <v>41523</v>
      </c>
      <c r="M275" s="63"/>
      <c r="N275" s="392">
        <f t="shared" si="285"/>
        <v>2011</v>
      </c>
      <c r="O275" s="382" t="s">
        <v>1389</v>
      </c>
      <c r="P275" s="68">
        <v>41523</v>
      </c>
      <c r="Q275" s="68">
        <v>0</v>
      </c>
      <c r="R275" s="68">
        <v>41523</v>
      </c>
      <c r="S275" s="68">
        <f t="shared" si="298"/>
        <v>41523</v>
      </c>
      <c r="T275" s="63"/>
      <c r="U275" s="385" t="s">
        <v>1494</v>
      </c>
      <c r="V275" s="370">
        <v>41523</v>
      </c>
      <c r="W275" s="370">
        <v>0</v>
      </c>
      <c r="X275" s="370">
        <v>41523</v>
      </c>
      <c r="Y275" s="68">
        <f t="shared" si="287"/>
        <v>41523</v>
      </c>
      <c r="Z275" s="345"/>
      <c r="AA275" s="385"/>
      <c r="AB275" s="345"/>
      <c r="AC275" s="345"/>
      <c r="AD275" s="345"/>
      <c r="AE275" s="68">
        <f t="shared" si="288"/>
        <v>0</v>
      </c>
      <c r="AF275" s="366" t="s">
        <v>1129</v>
      </c>
      <c r="AG275" s="358" t="s">
        <v>1160</v>
      </c>
      <c r="AH275" s="359">
        <v>48216.384589018067</v>
      </c>
      <c r="AI275" s="360"/>
      <c r="AJ275" s="360"/>
      <c r="AK275" s="360" t="str">
        <f t="shared" si="289"/>
        <v/>
      </c>
      <c r="AL275" s="18"/>
      <c r="AM275" s="360" t="str">
        <f t="shared" si="290"/>
        <v>2</v>
      </c>
      <c r="AN275" s="360" t="str">
        <f t="shared" si="291"/>
        <v>1</v>
      </c>
      <c r="AO275" s="360"/>
      <c r="AP275" s="346" t="str">
        <f t="shared" si="292"/>
        <v>1</v>
      </c>
      <c r="AQ275" s="360" t="str">
        <f t="shared" si="293"/>
        <v>2.1..1</v>
      </c>
      <c r="AR275" s="530"/>
      <c r="AS275" s="360"/>
      <c r="AT275" s="362"/>
      <c r="AU275" s="362"/>
      <c r="AV275" s="362"/>
      <c r="AW275" s="362"/>
      <c r="AX275" s="362"/>
      <c r="AY275" s="362"/>
      <c r="AZ275" s="362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</row>
    <row r="276" spans="1:68" ht="20.25" customHeight="1">
      <c r="A276" s="100">
        <v>35</v>
      </c>
      <c r="B276" s="100" t="s">
        <v>49</v>
      </c>
      <c r="C276" s="100" t="s">
        <v>2150</v>
      </c>
      <c r="D276" s="102" t="s">
        <v>549</v>
      </c>
      <c r="E276" s="100" t="str">
        <f t="shared" si="300"/>
        <v>Sama</v>
      </c>
      <c r="F276" s="63">
        <f t="shared" si="284"/>
        <v>256</v>
      </c>
      <c r="G276" s="63">
        <v>27</v>
      </c>
      <c r="H276" s="62" t="s">
        <v>49</v>
      </c>
      <c r="I276" s="62" t="s">
        <v>549</v>
      </c>
      <c r="J276" s="66">
        <v>11798.427477664341</v>
      </c>
      <c r="K276" s="533" t="s">
        <v>91</v>
      </c>
      <c r="L276" s="68">
        <f>AE276</f>
        <v>10501.64</v>
      </c>
      <c r="M276" s="63"/>
      <c r="N276" s="392">
        <f t="shared" si="285"/>
        <v>2010</v>
      </c>
      <c r="O276" s="382" t="s">
        <v>1487</v>
      </c>
      <c r="P276" s="68">
        <v>13033</v>
      </c>
      <c r="Q276" s="68">
        <v>0</v>
      </c>
      <c r="R276" s="68">
        <v>13033</v>
      </c>
      <c r="S276" s="68">
        <f t="shared" si="298"/>
        <v>13033</v>
      </c>
      <c r="T276" s="63"/>
      <c r="U276" s="385"/>
      <c r="V276" s="370"/>
      <c r="W276" s="370"/>
      <c r="X276" s="370"/>
      <c r="Y276" s="68">
        <f t="shared" si="287"/>
        <v>0</v>
      </c>
      <c r="Z276" s="345" t="s">
        <v>1076</v>
      </c>
      <c r="AA276" s="385" t="s">
        <v>550</v>
      </c>
      <c r="AB276" s="345">
        <v>10501.64</v>
      </c>
      <c r="AC276" s="345">
        <v>513.84</v>
      </c>
      <c r="AD276" s="345"/>
      <c r="AE276" s="68">
        <f t="shared" si="288"/>
        <v>10501.64</v>
      </c>
      <c r="AF276" s="364">
        <v>2021</v>
      </c>
      <c r="AG276" s="344"/>
      <c r="AH276" s="84">
        <v>11658.345977326968</v>
      </c>
      <c r="AI276" s="63"/>
      <c r="AJ276" s="63"/>
      <c r="AK276" s="63" t="str">
        <f t="shared" si="289"/>
        <v>V</v>
      </c>
      <c r="AL276" s="47"/>
      <c r="AM276" s="63" t="str">
        <f t="shared" si="290"/>
        <v>2</v>
      </c>
      <c r="AN276" s="63" t="str">
        <f t="shared" si="291"/>
        <v>1</v>
      </c>
      <c r="AO276" s="63"/>
      <c r="AP276" s="346" t="str">
        <f t="shared" si="292"/>
        <v>1</v>
      </c>
      <c r="AQ276" s="63" t="str">
        <f t="shared" si="293"/>
        <v>2.1..1</v>
      </c>
      <c r="AR276" s="534"/>
      <c r="AS276" s="64" t="s">
        <v>2151</v>
      </c>
      <c r="AT276" s="95">
        <v>11798.43</v>
      </c>
      <c r="AU276" s="95">
        <v>11015.48</v>
      </c>
      <c r="AV276" s="371">
        <f>AU276/AT276</f>
        <v>0.9336394757607579</v>
      </c>
      <c r="AW276" s="95">
        <v>8773</v>
      </c>
      <c r="AX276" s="371"/>
      <c r="AY276" s="95">
        <v>3025</v>
      </c>
      <c r="AZ276" s="371"/>
      <c r="BA276" s="47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</row>
    <row r="277" spans="1:68" ht="20.25" customHeight="1">
      <c r="A277" s="100">
        <v>35</v>
      </c>
      <c r="B277" s="100" t="s">
        <v>49</v>
      </c>
      <c r="C277" s="100" t="s">
        <v>2152</v>
      </c>
      <c r="D277" s="102" t="s">
        <v>551</v>
      </c>
      <c r="E277" s="100" t="str">
        <f t="shared" si="300"/>
        <v>Sama</v>
      </c>
      <c r="F277" s="63">
        <f t="shared" si="284"/>
        <v>257</v>
      </c>
      <c r="G277" s="63">
        <v>28</v>
      </c>
      <c r="H277" s="62" t="s">
        <v>49</v>
      </c>
      <c r="I277" s="62" t="s">
        <v>551</v>
      </c>
      <c r="J277" s="66">
        <v>24473.447935954417</v>
      </c>
      <c r="K277" s="533" t="s">
        <v>104</v>
      </c>
      <c r="L277" s="68">
        <f t="shared" ref="L277:L280" si="304">IF(S277&gt;0,S277,IF(Y277&gt;0,Y277,IF(AE277&gt;0,AE277,0)))</f>
        <v>12306</v>
      </c>
      <c r="M277" s="63"/>
      <c r="N277" s="392">
        <f t="shared" si="285"/>
        <v>2012</v>
      </c>
      <c r="O277" s="382" t="s">
        <v>1497</v>
      </c>
      <c r="P277" s="68">
        <v>12306</v>
      </c>
      <c r="Q277" s="68">
        <v>0</v>
      </c>
      <c r="R277" s="68">
        <v>12306</v>
      </c>
      <c r="S277" s="68">
        <f t="shared" si="298"/>
        <v>12306</v>
      </c>
      <c r="T277" s="63"/>
      <c r="U277" s="347"/>
      <c r="V277" s="370"/>
      <c r="W277" s="370"/>
      <c r="X277" s="370"/>
      <c r="Y277" s="68">
        <f t="shared" si="287"/>
        <v>0</v>
      </c>
      <c r="Z277" s="345"/>
      <c r="AA277" s="347"/>
      <c r="AB277" s="345"/>
      <c r="AC277" s="345"/>
      <c r="AD277" s="345"/>
      <c r="AE277" s="68">
        <f t="shared" si="288"/>
        <v>0</v>
      </c>
      <c r="AF277" s="366" t="s">
        <v>1129</v>
      </c>
      <c r="AG277" s="358" t="s">
        <v>1160</v>
      </c>
      <c r="AH277" s="359">
        <v>25332.09000371585</v>
      </c>
      <c r="AI277" s="360"/>
      <c r="AJ277" s="360"/>
      <c r="AK277" s="360" t="str">
        <f t="shared" si="289"/>
        <v/>
      </c>
      <c r="AL277" s="18"/>
      <c r="AM277" s="360" t="str">
        <f t="shared" si="290"/>
        <v>2</v>
      </c>
      <c r="AN277" s="360" t="str">
        <f t="shared" si="291"/>
        <v>1</v>
      </c>
      <c r="AO277" s="360"/>
      <c r="AP277" s="346" t="str">
        <f t="shared" si="292"/>
        <v>2</v>
      </c>
      <c r="AQ277" s="360" t="str">
        <f t="shared" si="293"/>
        <v>2.1..2</v>
      </c>
      <c r="AR277" s="530"/>
      <c r="AS277" s="360"/>
      <c r="AT277" s="362"/>
      <c r="AU277" s="362"/>
      <c r="AV277" s="362"/>
      <c r="AW277" s="362"/>
      <c r="AX277" s="362"/>
      <c r="AY277" s="362"/>
      <c r="AZ277" s="362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</row>
    <row r="278" spans="1:68" ht="20.25" customHeight="1">
      <c r="A278" s="100">
        <v>35</v>
      </c>
      <c r="B278" s="100" t="s">
        <v>49</v>
      </c>
      <c r="C278" s="100" t="s">
        <v>2153</v>
      </c>
      <c r="D278" s="102" t="s">
        <v>553</v>
      </c>
      <c r="E278" s="100" t="str">
        <f t="shared" si="300"/>
        <v>Sama</v>
      </c>
      <c r="F278" s="63">
        <f t="shared" si="284"/>
        <v>258</v>
      </c>
      <c r="G278" s="63">
        <v>29</v>
      </c>
      <c r="H278" s="62" t="s">
        <v>49</v>
      </c>
      <c r="I278" s="62" t="s">
        <v>553</v>
      </c>
      <c r="J278" s="66">
        <v>35539.374430647753</v>
      </c>
      <c r="K278" s="533" t="s">
        <v>91</v>
      </c>
      <c r="L278" s="68">
        <f t="shared" si="304"/>
        <v>34117.71</v>
      </c>
      <c r="M278" s="63"/>
      <c r="N278" s="392" t="e">
        <f t="shared" si="285"/>
        <v>#VALUE!</v>
      </c>
      <c r="O278" s="382"/>
      <c r="P278" s="68"/>
      <c r="Q278" s="68"/>
      <c r="R278" s="68"/>
      <c r="S278" s="68">
        <f t="shared" si="298"/>
        <v>0</v>
      </c>
      <c r="T278" s="63"/>
      <c r="U278" s="347"/>
      <c r="V278" s="370"/>
      <c r="W278" s="370"/>
      <c r="X278" s="370"/>
      <c r="Y278" s="68">
        <f t="shared" si="287"/>
        <v>0</v>
      </c>
      <c r="Z278" s="345" t="s">
        <v>1076</v>
      </c>
      <c r="AA278" s="537" t="s">
        <v>554</v>
      </c>
      <c r="AB278" s="345">
        <v>34117.71</v>
      </c>
      <c r="AC278" s="345"/>
      <c r="AD278" s="345"/>
      <c r="AE278" s="68">
        <f t="shared" si="288"/>
        <v>34117.71</v>
      </c>
      <c r="AF278" s="364">
        <v>2022</v>
      </c>
      <c r="AG278" s="344"/>
      <c r="AH278" s="84">
        <v>31753.648172112691</v>
      </c>
      <c r="AI278" s="63"/>
      <c r="AJ278" s="63"/>
      <c r="AK278" s="63" t="str">
        <f t="shared" si="289"/>
        <v>V</v>
      </c>
      <c r="AL278" s="47"/>
      <c r="AM278" s="63" t="e">
        <f t="shared" si="290"/>
        <v>#VALUE!</v>
      </c>
      <c r="AN278" s="63" t="str">
        <f t="shared" si="291"/>
        <v>2</v>
      </c>
      <c r="AO278" s="63"/>
      <c r="AP278" s="346" t="str">
        <f t="shared" si="292"/>
        <v>1</v>
      </c>
      <c r="AQ278" s="63" t="e">
        <f t="shared" si="293"/>
        <v>#VALUE!</v>
      </c>
      <c r="AR278" s="534"/>
      <c r="AS278" s="64" t="s">
        <v>554</v>
      </c>
      <c r="AT278" s="95">
        <v>35539.370000000003</v>
      </c>
      <c r="AU278" s="95">
        <v>34117.71</v>
      </c>
      <c r="AV278" s="371">
        <f>AU278/AT278</f>
        <v>0.95999760265868517</v>
      </c>
      <c r="AW278" s="95">
        <v>25120.93</v>
      </c>
      <c r="AX278" s="371">
        <f>AW278/AT278</f>
        <v>0.70684792667962315</v>
      </c>
      <c r="AY278" s="95">
        <v>10418.450000000001</v>
      </c>
      <c r="AZ278" s="371">
        <f>AY278/AT278</f>
        <v>0.2931523546984654</v>
      </c>
      <c r="BA278" s="47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</row>
    <row r="279" spans="1:68" ht="20.25" customHeight="1">
      <c r="A279" s="100">
        <v>35</v>
      </c>
      <c r="B279" s="100" t="s">
        <v>49</v>
      </c>
      <c r="C279" s="100" t="s">
        <v>2154</v>
      </c>
      <c r="D279" s="102" t="s">
        <v>555</v>
      </c>
      <c r="E279" s="100" t="str">
        <f t="shared" si="300"/>
        <v>Sama</v>
      </c>
      <c r="F279" s="63">
        <f t="shared" si="284"/>
        <v>259</v>
      </c>
      <c r="G279" s="63">
        <v>30</v>
      </c>
      <c r="H279" s="62" t="s">
        <v>49</v>
      </c>
      <c r="I279" s="62" t="s">
        <v>555</v>
      </c>
      <c r="J279" s="66">
        <v>34937.764874785207</v>
      </c>
      <c r="K279" s="533" t="s">
        <v>104</v>
      </c>
      <c r="L279" s="68">
        <f t="shared" si="304"/>
        <v>25000</v>
      </c>
      <c r="M279" s="63"/>
      <c r="N279" s="392">
        <f t="shared" si="285"/>
        <v>2012</v>
      </c>
      <c r="O279" s="382" t="s">
        <v>315</v>
      </c>
      <c r="P279" s="68">
        <v>25000</v>
      </c>
      <c r="Q279" s="68">
        <v>0</v>
      </c>
      <c r="R279" s="68">
        <v>25000</v>
      </c>
      <c r="S279" s="68">
        <f t="shared" si="298"/>
        <v>25000</v>
      </c>
      <c r="T279" s="63"/>
      <c r="U279" s="347"/>
      <c r="V279" s="370"/>
      <c r="W279" s="370"/>
      <c r="X279" s="370"/>
      <c r="Y279" s="68">
        <f t="shared" si="287"/>
        <v>0</v>
      </c>
      <c r="Z279" s="345"/>
      <c r="AA279" s="347"/>
      <c r="AB279" s="345"/>
      <c r="AC279" s="345"/>
      <c r="AD279" s="345"/>
      <c r="AE279" s="68">
        <f t="shared" si="288"/>
        <v>0</v>
      </c>
      <c r="AF279" s="366" t="s">
        <v>1097</v>
      </c>
      <c r="AG279" s="358"/>
      <c r="AH279" s="359">
        <v>34600.816607725683</v>
      </c>
      <c r="AI279" s="360"/>
      <c r="AJ279" s="360"/>
      <c r="AK279" s="360" t="str">
        <f t="shared" si="289"/>
        <v/>
      </c>
      <c r="AL279" s="18"/>
      <c r="AM279" s="360" t="str">
        <f t="shared" si="290"/>
        <v>2</v>
      </c>
      <c r="AN279" s="360" t="str">
        <f t="shared" si="291"/>
        <v>1</v>
      </c>
      <c r="AO279" s="360"/>
      <c r="AP279" s="346" t="str">
        <f t="shared" si="292"/>
        <v>2</v>
      </c>
      <c r="AQ279" s="360" t="str">
        <f t="shared" si="293"/>
        <v>2.1..2</v>
      </c>
      <c r="AR279" s="530"/>
      <c r="AS279" s="360"/>
      <c r="AT279" s="362"/>
      <c r="AU279" s="362"/>
      <c r="AV279" s="362"/>
      <c r="AW279" s="362"/>
      <c r="AX279" s="362"/>
      <c r="AY279" s="362"/>
      <c r="AZ279" s="362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</row>
    <row r="280" spans="1:68" ht="20.25" customHeight="1">
      <c r="A280" s="100">
        <v>35</v>
      </c>
      <c r="B280" s="100" t="s">
        <v>49</v>
      </c>
      <c r="C280" s="100" t="s">
        <v>2155</v>
      </c>
      <c r="D280" s="102" t="s">
        <v>556</v>
      </c>
      <c r="E280" s="100" t="str">
        <f t="shared" si="300"/>
        <v>Sama</v>
      </c>
      <c r="F280" s="63">
        <f t="shared" si="284"/>
        <v>260</v>
      </c>
      <c r="G280" s="63">
        <v>31</v>
      </c>
      <c r="H280" s="62" t="s">
        <v>49</v>
      </c>
      <c r="I280" s="62" t="s">
        <v>556</v>
      </c>
      <c r="J280" s="66">
        <v>39771.257796014928</v>
      </c>
      <c r="K280" s="533" t="s">
        <v>91</v>
      </c>
      <c r="L280" s="68">
        <f t="shared" si="304"/>
        <v>38692</v>
      </c>
      <c r="M280" s="63"/>
      <c r="N280" s="392">
        <f t="shared" si="285"/>
        <v>2011</v>
      </c>
      <c r="O280" s="382" t="s">
        <v>631</v>
      </c>
      <c r="P280" s="68">
        <v>38692</v>
      </c>
      <c r="Q280" s="68">
        <v>0</v>
      </c>
      <c r="R280" s="68">
        <v>38692</v>
      </c>
      <c r="S280" s="68">
        <f t="shared" si="298"/>
        <v>38692</v>
      </c>
      <c r="T280" s="63" t="s">
        <v>1076</v>
      </c>
      <c r="U280" s="385" t="s">
        <v>1501</v>
      </c>
      <c r="V280" s="370">
        <v>38692</v>
      </c>
      <c r="W280" s="370">
        <v>0</v>
      </c>
      <c r="X280" s="370">
        <v>38692</v>
      </c>
      <c r="Y280" s="68">
        <f t="shared" si="287"/>
        <v>38692</v>
      </c>
      <c r="Z280" s="345"/>
      <c r="AA280" s="385" t="s">
        <v>557</v>
      </c>
      <c r="AB280" s="345">
        <v>38692</v>
      </c>
      <c r="AC280" s="345">
        <v>0</v>
      </c>
      <c r="AD280" s="345">
        <v>38692</v>
      </c>
      <c r="AE280" s="68">
        <f t="shared" si="288"/>
        <v>38692</v>
      </c>
      <c r="AF280" s="366">
        <v>2020</v>
      </c>
      <c r="AG280" s="358"/>
      <c r="AH280" s="359">
        <v>39344.66922785162</v>
      </c>
      <c r="AI280" s="360"/>
      <c r="AJ280" s="360"/>
      <c r="AK280" s="360" t="str">
        <f t="shared" si="289"/>
        <v>V</v>
      </c>
      <c r="AL280" s="18"/>
      <c r="AM280" s="360" t="str">
        <f t="shared" si="290"/>
        <v>2</v>
      </c>
      <c r="AN280" s="360" t="str">
        <f t="shared" si="291"/>
        <v>1</v>
      </c>
      <c r="AO280" s="360"/>
      <c r="AP280" s="346" t="str">
        <f t="shared" si="292"/>
        <v>1</v>
      </c>
      <c r="AQ280" s="360" t="str">
        <f t="shared" si="293"/>
        <v>2.1..1</v>
      </c>
      <c r="AR280" s="530"/>
      <c r="AS280" s="362" t="s">
        <v>2156</v>
      </c>
      <c r="AT280" s="367">
        <v>39775</v>
      </c>
      <c r="AU280" s="367">
        <v>43959</v>
      </c>
      <c r="AV280" s="368">
        <f t="shared" ref="AV280:AV281" si="305">AU280/AT280</f>
        <v>1.1051917033312382</v>
      </c>
      <c r="AW280" s="367">
        <v>23975</v>
      </c>
      <c r="AX280" s="368">
        <f t="shared" ref="AX280:AX281" si="306">AW280/AT280</f>
        <v>0.60276555625392836</v>
      </c>
      <c r="AY280" s="367">
        <v>15800</v>
      </c>
      <c r="AZ280" s="368">
        <f t="shared" ref="AZ280:AZ281" si="307">AY280/AT280</f>
        <v>0.39723444374607164</v>
      </c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</row>
    <row r="281" spans="1:68" ht="20.25" customHeight="1">
      <c r="A281" s="100">
        <v>35</v>
      </c>
      <c r="B281" s="100" t="s">
        <v>49</v>
      </c>
      <c r="C281" s="100" t="s">
        <v>2157</v>
      </c>
      <c r="D281" s="102" t="s">
        <v>558</v>
      </c>
      <c r="E281" s="100" t="str">
        <f t="shared" si="300"/>
        <v>Sama</v>
      </c>
      <c r="F281" s="63">
        <f t="shared" si="284"/>
        <v>261</v>
      </c>
      <c r="G281" s="63">
        <v>32</v>
      </c>
      <c r="H281" s="62" t="s">
        <v>49</v>
      </c>
      <c r="I281" s="62" t="s">
        <v>558</v>
      </c>
      <c r="J281" s="66">
        <v>30847.964790125472</v>
      </c>
      <c r="K281" s="533" t="s">
        <v>91</v>
      </c>
      <c r="L281" s="68">
        <f>AE281</f>
        <v>31840.04</v>
      </c>
      <c r="M281" s="63"/>
      <c r="N281" s="392">
        <f t="shared" si="285"/>
        <v>2012</v>
      </c>
      <c r="O281" s="382" t="s">
        <v>1201</v>
      </c>
      <c r="P281" s="68">
        <v>33445</v>
      </c>
      <c r="Q281" s="68">
        <v>0</v>
      </c>
      <c r="R281" s="68">
        <v>33445</v>
      </c>
      <c r="S281" s="68">
        <f t="shared" si="298"/>
        <v>33445</v>
      </c>
      <c r="T281" s="63"/>
      <c r="U281" s="347"/>
      <c r="V281" s="370"/>
      <c r="W281" s="370"/>
      <c r="X281" s="370"/>
      <c r="Y281" s="68">
        <f t="shared" si="287"/>
        <v>0</v>
      </c>
      <c r="Z281" s="345" t="s">
        <v>1076</v>
      </c>
      <c r="AA281" s="531" t="s">
        <v>559</v>
      </c>
      <c r="AB281" s="345">
        <v>26304.83</v>
      </c>
      <c r="AC281" s="345">
        <v>5535.21</v>
      </c>
      <c r="AD281" s="345">
        <v>31840.04</v>
      </c>
      <c r="AE281" s="68">
        <f t="shared" si="288"/>
        <v>31840.04</v>
      </c>
      <c r="AF281" s="364">
        <v>2022</v>
      </c>
      <c r="AG281" s="344"/>
      <c r="AH281" s="84">
        <v>31603.114724540254</v>
      </c>
      <c r="AI281" s="63"/>
      <c r="AJ281" s="63"/>
      <c r="AK281" s="63" t="str">
        <f t="shared" si="289"/>
        <v>V</v>
      </c>
      <c r="AL281" s="47"/>
      <c r="AM281" s="63" t="str">
        <f t="shared" si="290"/>
        <v>2</v>
      </c>
      <c r="AN281" s="63" t="str">
        <f t="shared" si="291"/>
        <v>1</v>
      </c>
      <c r="AO281" s="63"/>
      <c r="AP281" s="346" t="str">
        <f t="shared" si="292"/>
        <v>1</v>
      </c>
      <c r="AQ281" s="63" t="str">
        <f t="shared" si="293"/>
        <v>2.1..1</v>
      </c>
      <c r="AR281" s="534"/>
      <c r="AS281" s="64" t="s">
        <v>559</v>
      </c>
      <c r="AT281" s="95">
        <v>30847.96</v>
      </c>
      <c r="AU281" s="95">
        <v>31840.04</v>
      </c>
      <c r="AV281" s="371">
        <f t="shared" si="305"/>
        <v>1.0321603114111921</v>
      </c>
      <c r="AW281" s="95">
        <v>25243.68</v>
      </c>
      <c r="AX281" s="371">
        <f t="shared" si="306"/>
        <v>0.81832574990372142</v>
      </c>
      <c r="AY281" s="95">
        <v>5604.28</v>
      </c>
      <c r="AZ281" s="371">
        <f t="shared" si="307"/>
        <v>0.18167425009627866</v>
      </c>
      <c r="BA281" s="47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</row>
    <row r="282" spans="1:68" ht="20.25" customHeight="1">
      <c r="A282" s="100">
        <v>35</v>
      </c>
      <c r="B282" s="100" t="s">
        <v>49</v>
      </c>
      <c r="C282" s="100" t="s">
        <v>2158</v>
      </c>
      <c r="D282" s="102" t="s">
        <v>560</v>
      </c>
      <c r="E282" s="100" t="str">
        <f t="shared" si="300"/>
        <v>Sama</v>
      </c>
      <c r="F282" s="63">
        <f t="shared" si="284"/>
        <v>262</v>
      </c>
      <c r="G282" s="63">
        <v>33</v>
      </c>
      <c r="H282" s="62" t="s">
        <v>49</v>
      </c>
      <c r="I282" s="62" t="s">
        <v>560</v>
      </c>
      <c r="J282" s="66">
        <v>23093.014263077734</v>
      </c>
      <c r="K282" s="533" t="s">
        <v>661</v>
      </c>
      <c r="L282" s="68">
        <f>IF(S282&gt;0,S282,IF(Y282&gt;0,Y282,IF(AE282&gt;0,AE282,0)))</f>
        <v>0</v>
      </c>
      <c r="M282" s="63"/>
      <c r="N282" s="392" t="e">
        <f t="shared" si="285"/>
        <v>#VALUE!</v>
      </c>
      <c r="O282" s="382"/>
      <c r="P282" s="68"/>
      <c r="Q282" s="68"/>
      <c r="R282" s="68"/>
      <c r="S282" s="68">
        <f t="shared" si="298"/>
        <v>0</v>
      </c>
      <c r="T282" s="63"/>
      <c r="U282" s="347"/>
      <c r="V282" s="370"/>
      <c r="W282" s="370"/>
      <c r="X282" s="370"/>
      <c r="Y282" s="68">
        <f t="shared" si="287"/>
        <v>0</v>
      </c>
      <c r="Z282" s="345"/>
      <c r="AA282" s="347"/>
      <c r="AB282" s="345"/>
      <c r="AC282" s="345"/>
      <c r="AD282" s="345"/>
      <c r="AE282" s="68">
        <f t="shared" si="288"/>
        <v>0</v>
      </c>
      <c r="AF282" s="366" t="s">
        <v>1129</v>
      </c>
      <c r="AG282" s="358" t="s">
        <v>1160</v>
      </c>
      <c r="AH282" s="359">
        <v>17804.583499116234</v>
      </c>
      <c r="AI282" s="360"/>
      <c r="AJ282" s="360"/>
      <c r="AK282" s="360" t="str">
        <f t="shared" si="289"/>
        <v/>
      </c>
      <c r="AL282" s="18"/>
      <c r="AM282" s="360" t="e">
        <f t="shared" si="290"/>
        <v>#VALUE!</v>
      </c>
      <c r="AN282" s="360" t="str">
        <f t="shared" si="291"/>
        <v>2</v>
      </c>
      <c r="AO282" s="360"/>
      <c r="AP282" s="346" t="str">
        <f t="shared" si="292"/>
        <v>2</v>
      </c>
      <c r="AQ282" s="360" t="e">
        <f t="shared" si="293"/>
        <v>#VALUE!</v>
      </c>
      <c r="AR282" s="530"/>
      <c r="AS282" s="360"/>
      <c r="AT282" s="362"/>
      <c r="AU282" s="362"/>
      <c r="AV282" s="362"/>
      <c r="AW282" s="362"/>
      <c r="AX282" s="362"/>
      <c r="AY282" s="362"/>
      <c r="AZ282" s="362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</row>
    <row r="283" spans="1:68" ht="20.25" customHeight="1">
      <c r="A283" s="100">
        <v>35</v>
      </c>
      <c r="B283" s="100" t="s">
        <v>49</v>
      </c>
      <c r="C283" s="100" t="s">
        <v>2159</v>
      </c>
      <c r="D283" s="102" t="s">
        <v>561</v>
      </c>
      <c r="E283" s="100" t="str">
        <f t="shared" si="300"/>
        <v>Sama</v>
      </c>
      <c r="F283" s="63">
        <f t="shared" si="284"/>
        <v>263</v>
      </c>
      <c r="G283" s="63">
        <v>34</v>
      </c>
      <c r="H283" s="62" t="s">
        <v>49</v>
      </c>
      <c r="I283" s="62" t="s">
        <v>561</v>
      </c>
      <c r="J283" s="66">
        <v>32815.397656606321</v>
      </c>
      <c r="K283" s="533" t="s">
        <v>91</v>
      </c>
      <c r="L283" s="68">
        <f t="shared" ref="L283:L284" si="308">AE283</f>
        <v>33880.639999999999</v>
      </c>
      <c r="M283" s="63"/>
      <c r="N283" s="392">
        <f t="shared" si="285"/>
        <v>2013</v>
      </c>
      <c r="O283" s="382" t="s">
        <v>1505</v>
      </c>
      <c r="P283" s="68">
        <v>30032</v>
      </c>
      <c r="Q283" s="68">
        <v>0</v>
      </c>
      <c r="R283" s="68">
        <v>30032</v>
      </c>
      <c r="S283" s="68">
        <f t="shared" si="298"/>
        <v>30032</v>
      </c>
      <c r="T283" s="63"/>
      <c r="U283" s="385" t="s">
        <v>787</v>
      </c>
      <c r="V283" s="370">
        <v>30032</v>
      </c>
      <c r="W283" s="370">
        <v>0</v>
      </c>
      <c r="X283" s="370">
        <v>30032</v>
      </c>
      <c r="Y283" s="68">
        <f t="shared" si="287"/>
        <v>30032</v>
      </c>
      <c r="Z283" s="345" t="s">
        <v>1076</v>
      </c>
      <c r="AA283" s="549" t="s">
        <v>562</v>
      </c>
      <c r="AB283" s="345">
        <v>33880.639999999999</v>
      </c>
      <c r="AC283" s="345"/>
      <c r="AD283" s="345"/>
      <c r="AE283" s="68">
        <f t="shared" si="288"/>
        <v>33880.639999999999</v>
      </c>
      <c r="AF283" s="364">
        <v>2022</v>
      </c>
      <c r="AG283" s="344"/>
      <c r="AH283" s="84">
        <v>32325.350922523226</v>
      </c>
      <c r="AI283" s="63"/>
      <c r="AJ283" s="63"/>
      <c r="AK283" s="63" t="str">
        <f t="shared" si="289"/>
        <v>V</v>
      </c>
      <c r="AL283" s="47"/>
      <c r="AM283" s="63" t="str">
        <f t="shared" si="290"/>
        <v>2</v>
      </c>
      <c r="AN283" s="63" t="str">
        <f t="shared" si="291"/>
        <v>1</v>
      </c>
      <c r="AO283" s="63"/>
      <c r="AP283" s="346" t="str">
        <f t="shared" si="292"/>
        <v>1</v>
      </c>
      <c r="AQ283" s="63" t="str">
        <f t="shared" si="293"/>
        <v>2.1..1</v>
      </c>
      <c r="AR283" s="534"/>
      <c r="AS283" s="64" t="s">
        <v>562</v>
      </c>
      <c r="AT283" s="95">
        <v>32815.4</v>
      </c>
      <c r="AU283" s="95">
        <v>33880.639999999999</v>
      </c>
      <c r="AV283" s="371">
        <f t="shared" ref="AV283:AV287" si="309">AU283/AT283</f>
        <v>1.03246158815678</v>
      </c>
      <c r="AW283" s="95">
        <v>29568.2</v>
      </c>
      <c r="AX283" s="371">
        <f>AW283/AT283</f>
        <v>0.90104645989383036</v>
      </c>
      <c r="AY283" s="95">
        <v>3247.2</v>
      </c>
      <c r="AZ283" s="371">
        <f>AY283/AT283</f>
        <v>9.8953540106169649E-2</v>
      </c>
      <c r="BA283" s="47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</row>
    <row r="284" spans="1:68" ht="20.25" customHeight="1">
      <c r="A284" s="100">
        <v>35</v>
      </c>
      <c r="B284" s="100" t="s">
        <v>49</v>
      </c>
      <c r="C284" s="100" t="s">
        <v>2160</v>
      </c>
      <c r="D284" s="102" t="s">
        <v>563</v>
      </c>
      <c r="E284" s="100" t="str">
        <f t="shared" si="300"/>
        <v>Sama</v>
      </c>
      <c r="F284" s="63">
        <f t="shared" si="284"/>
        <v>264</v>
      </c>
      <c r="G284" s="63">
        <v>35</v>
      </c>
      <c r="H284" s="62" t="s">
        <v>49</v>
      </c>
      <c r="I284" s="62" t="s">
        <v>563</v>
      </c>
      <c r="J284" s="66">
        <v>35543.437153677616</v>
      </c>
      <c r="K284" s="533" t="s">
        <v>91</v>
      </c>
      <c r="L284" s="68">
        <f t="shared" si="308"/>
        <v>31070.74</v>
      </c>
      <c r="M284" s="63"/>
      <c r="N284" s="392">
        <f t="shared" si="285"/>
        <v>2013</v>
      </c>
      <c r="O284" s="382" t="s">
        <v>1507</v>
      </c>
      <c r="P284" s="68">
        <v>20860.2</v>
      </c>
      <c r="Q284" s="68">
        <v>0</v>
      </c>
      <c r="R284" s="68">
        <v>20860.2</v>
      </c>
      <c r="S284" s="68">
        <f t="shared" si="298"/>
        <v>20860.2</v>
      </c>
      <c r="T284" s="63"/>
      <c r="U284" s="385" t="s">
        <v>1508</v>
      </c>
      <c r="V284" s="370">
        <v>20860.2</v>
      </c>
      <c r="W284" s="370">
        <v>10210.540000000001</v>
      </c>
      <c r="X284" s="370">
        <v>31070.74</v>
      </c>
      <c r="Y284" s="68">
        <f t="shared" si="287"/>
        <v>31070.74</v>
      </c>
      <c r="Z284" s="345" t="s">
        <v>1076</v>
      </c>
      <c r="AA284" s="541" t="s">
        <v>564</v>
      </c>
      <c r="AB284" s="345">
        <v>20860.2</v>
      </c>
      <c r="AC284" s="345">
        <v>10210.540000000001</v>
      </c>
      <c r="AD284" s="345">
        <v>31070.74</v>
      </c>
      <c r="AE284" s="68">
        <f t="shared" si="288"/>
        <v>31070.74</v>
      </c>
      <c r="AF284" s="364">
        <v>2021</v>
      </c>
      <c r="AG284" s="344"/>
      <c r="AH284" s="84">
        <v>35479.006882234135</v>
      </c>
      <c r="AI284" s="63"/>
      <c r="AJ284" s="63"/>
      <c r="AK284" s="63" t="str">
        <f t="shared" si="289"/>
        <v>V</v>
      </c>
      <c r="AL284" s="47"/>
      <c r="AM284" s="63" t="str">
        <f t="shared" si="290"/>
        <v>2</v>
      </c>
      <c r="AN284" s="63" t="str">
        <f t="shared" si="291"/>
        <v>1</v>
      </c>
      <c r="AO284" s="63"/>
      <c r="AP284" s="346" t="str">
        <f t="shared" si="292"/>
        <v>1</v>
      </c>
      <c r="AQ284" s="63" t="str">
        <f t="shared" si="293"/>
        <v>2.1..1</v>
      </c>
      <c r="AR284" s="534"/>
      <c r="AS284" s="64" t="s">
        <v>2161</v>
      </c>
      <c r="AT284" s="95">
        <v>35543.440000000002</v>
      </c>
      <c r="AU284" s="95">
        <v>31070.74</v>
      </c>
      <c r="AV284" s="371">
        <f t="shared" si="309"/>
        <v>0.87416243334916377</v>
      </c>
      <c r="AW284" s="95">
        <v>26811</v>
      </c>
      <c r="AX284" s="371"/>
      <c r="AY284" s="95">
        <v>8732</v>
      </c>
      <c r="AZ284" s="371"/>
      <c r="BA284" s="47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</row>
    <row r="285" spans="1:68" ht="20.25" customHeight="1">
      <c r="A285" s="100">
        <v>35</v>
      </c>
      <c r="B285" s="100" t="s">
        <v>49</v>
      </c>
      <c r="C285" s="100" t="s">
        <v>2162</v>
      </c>
      <c r="D285" s="102" t="s">
        <v>565</v>
      </c>
      <c r="E285" s="100" t="str">
        <f t="shared" si="300"/>
        <v>Sama</v>
      </c>
      <c r="F285" s="63">
        <f t="shared" si="284"/>
        <v>265</v>
      </c>
      <c r="G285" s="63">
        <v>36</v>
      </c>
      <c r="H285" s="62" t="s">
        <v>49</v>
      </c>
      <c r="I285" s="62" t="s">
        <v>565</v>
      </c>
      <c r="J285" s="66">
        <v>12048.140924986597</v>
      </c>
      <c r="K285" s="533" t="s">
        <v>91</v>
      </c>
      <c r="L285" s="68">
        <f t="shared" ref="L285:L286" si="310">IF(S285&gt;0,S285,IF(Y285&gt;0,Y285,IF(AE285&gt;0,AE285,0)))</f>
        <v>12785</v>
      </c>
      <c r="M285" s="63"/>
      <c r="N285" s="392">
        <f t="shared" si="285"/>
        <v>2012</v>
      </c>
      <c r="O285" s="382" t="s">
        <v>1256</v>
      </c>
      <c r="P285" s="68">
        <v>12785</v>
      </c>
      <c r="Q285" s="68">
        <v>0</v>
      </c>
      <c r="R285" s="68">
        <v>12785</v>
      </c>
      <c r="S285" s="68">
        <f t="shared" si="298"/>
        <v>12785</v>
      </c>
      <c r="T285" s="63" t="s">
        <v>1076</v>
      </c>
      <c r="U285" s="385" t="s">
        <v>1510</v>
      </c>
      <c r="V285" s="370">
        <v>12785</v>
      </c>
      <c r="W285" s="370">
        <v>0</v>
      </c>
      <c r="X285" s="370">
        <v>12785</v>
      </c>
      <c r="Y285" s="68">
        <f t="shared" si="287"/>
        <v>12785</v>
      </c>
      <c r="Z285" s="345"/>
      <c r="AA285" s="385"/>
      <c r="AB285" s="345"/>
      <c r="AC285" s="345"/>
      <c r="AD285" s="345"/>
      <c r="AE285" s="68">
        <f t="shared" si="288"/>
        <v>0</v>
      </c>
      <c r="AF285" s="366">
        <v>2020</v>
      </c>
      <c r="AG285" s="358"/>
      <c r="AH285" s="359">
        <v>11756.90985441619</v>
      </c>
      <c r="AI285" s="360"/>
      <c r="AJ285" s="360"/>
      <c r="AK285" s="360" t="str">
        <f t="shared" si="289"/>
        <v>V</v>
      </c>
      <c r="AL285" s="18"/>
      <c r="AM285" s="360" t="str">
        <f t="shared" si="290"/>
        <v>2</v>
      </c>
      <c r="AN285" s="360" t="str">
        <f t="shared" si="291"/>
        <v>1</v>
      </c>
      <c r="AO285" s="360"/>
      <c r="AP285" s="346" t="str">
        <f t="shared" si="292"/>
        <v>1</v>
      </c>
      <c r="AQ285" s="360" t="str">
        <f t="shared" si="293"/>
        <v>2.1..1</v>
      </c>
      <c r="AR285" s="530"/>
      <c r="AS285" s="362" t="s">
        <v>2163</v>
      </c>
      <c r="AT285" s="367">
        <v>12048</v>
      </c>
      <c r="AU285" s="367">
        <v>18588</v>
      </c>
      <c r="AV285" s="368">
        <f t="shared" si="309"/>
        <v>1.5428286852589641</v>
      </c>
      <c r="AW285" s="367">
        <v>7352</v>
      </c>
      <c r="AX285" s="368">
        <f t="shared" ref="AX285:AX286" si="311">AW285/AT285</f>
        <v>0.61022576361221781</v>
      </c>
      <c r="AY285" s="367">
        <v>4697</v>
      </c>
      <c r="AZ285" s="368">
        <f t="shared" ref="AZ285:AZ286" si="312">AY285/AT285</f>
        <v>0.38985723771580344</v>
      </c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</row>
    <row r="286" spans="1:68" ht="20.25" customHeight="1">
      <c r="A286" s="100">
        <v>35</v>
      </c>
      <c r="B286" s="100" t="s">
        <v>49</v>
      </c>
      <c r="C286" s="100" t="s">
        <v>2164</v>
      </c>
      <c r="D286" s="102" t="s">
        <v>567</v>
      </c>
      <c r="E286" s="100" t="str">
        <f t="shared" si="300"/>
        <v>Sama</v>
      </c>
      <c r="F286" s="63">
        <f t="shared" si="284"/>
        <v>266</v>
      </c>
      <c r="G286" s="63">
        <v>37</v>
      </c>
      <c r="H286" s="62" t="s">
        <v>49</v>
      </c>
      <c r="I286" s="62" t="s">
        <v>567</v>
      </c>
      <c r="J286" s="66">
        <v>66534.047483618036</v>
      </c>
      <c r="K286" s="533" t="s">
        <v>91</v>
      </c>
      <c r="L286" s="68">
        <f t="shared" si="310"/>
        <v>75610</v>
      </c>
      <c r="M286" s="63" t="s">
        <v>1076</v>
      </c>
      <c r="N286" s="365">
        <f t="shared" si="285"/>
        <v>2020</v>
      </c>
      <c r="O286" s="347" t="s">
        <v>568</v>
      </c>
      <c r="P286" s="370">
        <v>0</v>
      </c>
      <c r="Q286" s="370">
        <v>0</v>
      </c>
      <c r="R286" s="370">
        <v>75610</v>
      </c>
      <c r="S286" s="68">
        <f t="shared" si="298"/>
        <v>75610</v>
      </c>
      <c r="T286" s="63"/>
      <c r="U286" s="347"/>
      <c r="V286" s="370"/>
      <c r="W286" s="370"/>
      <c r="X286" s="370"/>
      <c r="Y286" s="68">
        <f t="shared" si="287"/>
        <v>0</v>
      </c>
      <c r="Z286" s="345"/>
      <c r="AA286" s="347"/>
      <c r="AB286" s="345"/>
      <c r="AC286" s="345"/>
      <c r="AD286" s="345"/>
      <c r="AE286" s="68">
        <f t="shared" si="288"/>
        <v>0</v>
      </c>
      <c r="AF286" s="366">
        <v>2020</v>
      </c>
      <c r="AG286" s="358"/>
      <c r="AH286" s="359">
        <v>65465.86408506702</v>
      </c>
      <c r="AI286" s="360"/>
      <c r="AJ286" s="360"/>
      <c r="AK286" s="360" t="str">
        <f t="shared" si="289"/>
        <v>V</v>
      </c>
      <c r="AL286" s="18"/>
      <c r="AM286" s="360" t="str">
        <f t="shared" si="290"/>
        <v>1</v>
      </c>
      <c r="AN286" s="360" t="str">
        <f t="shared" si="291"/>
        <v>1</v>
      </c>
      <c r="AO286" s="360"/>
      <c r="AP286" s="346" t="str">
        <f t="shared" si="292"/>
        <v>2</v>
      </c>
      <c r="AQ286" s="360" t="str">
        <f t="shared" si="293"/>
        <v>1.1..2</v>
      </c>
      <c r="AR286" s="530"/>
      <c r="AS286" s="362" t="s">
        <v>2165</v>
      </c>
      <c r="AT286" s="367">
        <v>66534</v>
      </c>
      <c r="AU286" s="367">
        <v>75651</v>
      </c>
      <c r="AV286" s="368">
        <f t="shared" si="309"/>
        <v>1.1370276850933356</v>
      </c>
      <c r="AW286" s="367">
        <v>53969</v>
      </c>
      <c r="AX286" s="368">
        <f t="shared" si="311"/>
        <v>0.81114918688189497</v>
      </c>
      <c r="AY286" s="367">
        <v>12566</v>
      </c>
      <c r="AZ286" s="368">
        <f t="shared" si="312"/>
        <v>0.18886584302762496</v>
      </c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</row>
    <row r="287" spans="1:68" ht="20.25" customHeight="1">
      <c r="A287" s="100">
        <v>35</v>
      </c>
      <c r="B287" s="100" t="s">
        <v>49</v>
      </c>
      <c r="C287" s="100" t="s">
        <v>2166</v>
      </c>
      <c r="D287" s="102" t="s">
        <v>569</v>
      </c>
      <c r="E287" s="100" t="str">
        <f t="shared" si="300"/>
        <v>Sama</v>
      </c>
      <c r="F287" s="63">
        <f t="shared" si="284"/>
        <v>267</v>
      </c>
      <c r="G287" s="63">
        <v>38</v>
      </c>
      <c r="H287" s="62" t="s">
        <v>49</v>
      </c>
      <c r="I287" s="62" t="s">
        <v>569</v>
      </c>
      <c r="J287" s="66">
        <v>25414.793583192779</v>
      </c>
      <c r="K287" s="533" t="s">
        <v>91</v>
      </c>
      <c r="L287" s="68">
        <f>AE287</f>
        <v>16296.91</v>
      </c>
      <c r="M287" s="63"/>
      <c r="N287" s="392">
        <f t="shared" si="285"/>
        <v>2012</v>
      </c>
      <c r="O287" s="382" t="s">
        <v>323</v>
      </c>
      <c r="P287" s="68">
        <v>26000</v>
      </c>
      <c r="Q287" s="68">
        <v>0</v>
      </c>
      <c r="R287" s="68">
        <v>26000</v>
      </c>
      <c r="S287" s="68">
        <f t="shared" si="298"/>
        <v>26000</v>
      </c>
      <c r="T287" s="63"/>
      <c r="U287" s="385" t="s">
        <v>1513</v>
      </c>
      <c r="V287" s="370">
        <v>0</v>
      </c>
      <c r="W287" s="370">
        <v>0</v>
      </c>
      <c r="X287" s="370">
        <v>0</v>
      </c>
      <c r="Y287" s="68">
        <f t="shared" si="287"/>
        <v>0</v>
      </c>
      <c r="Z287" s="345" t="s">
        <v>1076</v>
      </c>
      <c r="AA287" s="541" t="s">
        <v>570</v>
      </c>
      <c r="AB287" s="345">
        <v>15296.26</v>
      </c>
      <c r="AC287" s="345">
        <v>1630.65</v>
      </c>
      <c r="AD287" s="345">
        <v>16296.91</v>
      </c>
      <c r="AE287" s="68">
        <f t="shared" si="288"/>
        <v>16296.91</v>
      </c>
      <c r="AF287" s="364">
        <v>2021</v>
      </c>
      <c r="AG287" s="344"/>
      <c r="AH287" s="84">
        <v>23740.523947601025</v>
      </c>
      <c r="AI287" s="63"/>
      <c r="AJ287" s="63"/>
      <c r="AK287" s="63" t="str">
        <f t="shared" si="289"/>
        <v>V</v>
      </c>
      <c r="AL287" s="47"/>
      <c r="AM287" s="63" t="str">
        <f t="shared" si="290"/>
        <v>2</v>
      </c>
      <c r="AN287" s="63" t="str">
        <f t="shared" si="291"/>
        <v>1</v>
      </c>
      <c r="AO287" s="63"/>
      <c r="AP287" s="346" t="str">
        <f t="shared" si="292"/>
        <v>1</v>
      </c>
      <c r="AQ287" s="63" t="str">
        <f t="shared" si="293"/>
        <v>2.1..1</v>
      </c>
      <c r="AR287" s="534"/>
      <c r="AS287" s="64" t="s">
        <v>2167</v>
      </c>
      <c r="AT287" s="95">
        <v>25414.79</v>
      </c>
      <c r="AU287" s="95">
        <v>16926.91</v>
      </c>
      <c r="AV287" s="371">
        <f t="shared" si="309"/>
        <v>0.66602596362196975</v>
      </c>
      <c r="AW287" s="95">
        <v>16936</v>
      </c>
      <c r="AX287" s="371"/>
      <c r="AY287" s="95">
        <v>8478</v>
      </c>
      <c r="AZ287" s="371"/>
      <c r="BA287" s="47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</row>
    <row r="288" spans="1:68" ht="20.25" customHeight="1">
      <c r="A288" s="100">
        <v>51</v>
      </c>
      <c r="B288" s="100" t="s">
        <v>50</v>
      </c>
      <c r="C288" s="100">
        <v>51</v>
      </c>
      <c r="D288" s="102" t="s">
        <v>2168</v>
      </c>
      <c r="E288" s="100" t="str">
        <f t="shared" si="300"/>
        <v>Sama</v>
      </c>
      <c r="F288" s="63"/>
      <c r="G288" s="342"/>
      <c r="H288" s="379"/>
      <c r="I288" s="379" t="s">
        <v>2168</v>
      </c>
      <c r="J288" s="380"/>
      <c r="K288" s="353">
        <f>COUNTIF(K289:K297,"D") + COUNTIF(K289:K297,"DS")</f>
        <v>9</v>
      </c>
      <c r="L288" s="383">
        <f>SUBTOTAL(9,L289:L297)</f>
        <v>57246.57</v>
      </c>
      <c r="M288" s="342"/>
      <c r="N288" s="355"/>
      <c r="O288" s="356"/>
      <c r="P288" s="383">
        <f t="shared" ref="P288:R288" si="313">SUBTOTAL(9,P289:P296)</f>
        <v>53742.119999999995</v>
      </c>
      <c r="Q288" s="383">
        <f t="shared" si="313"/>
        <v>0</v>
      </c>
      <c r="R288" s="383">
        <f t="shared" si="313"/>
        <v>59858.119999999995</v>
      </c>
      <c r="S288" s="383"/>
      <c r="T288" s="342"/>
      <c r="U288" s="351"/>
      <c r="V288" s="384">
        <v>7498.12</v>
      </c>
      <c r="W288" s="384">
        <v>0</v>
      </c>
      <c r="X288" s="384">
        <v>7498.12</v>
      </c>
      <c r="Y288" s="383"/>
      <c r="Z288" s="337">
        <v>1</v>
      </c>
      <c r="AA288" s="351">
        <v>1</v>
      </c>
      <c r="AB288" s="337">
        <f>SUM(AB289:AB296)</f>
        <v>29805.45</v>
      </c>
      <c r="AC288" s="337">
        <v>0</v>
      </c>
      <c r="AD288" s="337"/>
      <c r="AE288" s="383"/>
      <c r="AF288" s="357" t="s">
        <v>1138</v>
      </c>
      <c r="AG288" s="358"/>
      <c r="AH288" s="359">
        <f>SUM(AH289:AH296)</f>
        <v>66074.294445135092</v>
      </c>
      <c r="AI288" s="360"/>
      <c r="AJ288" s="360"/>
      <c r="AK288" s="361">
        <f>COUNTIF(AK289:AK297,"V") + COUNTIF(AK289:AK297,"VV") + COUNTIF(AK289:AK297,"VVV")</f>
        <v>5</v>
      </c>
      <c r="AL288" s="18"/>
      <c r="AM288" s="360"/>
      <c r="AN288" s="360"/>
      <c r="AO288" s="360"/>
      <c r="AP288" s="346"/>
      <c r="AQ288" s="360"/>
      <c r="AR288" s="530"/>
      <c r="AS288" s="360"/>
      <c r="AT288" s="362"/>
      <c r="AU288" s="362"/>
      <c r="AV288" s="362"/>
      <c r="AW288" s="362"/>
      <c r="AX288" s="362"/>
      <c r="AY288" s="362"/>
      <c r="AZ288" s="362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</row>
    <row r="289" spans="1:68" ht="20.25" customHeight="1">
      <c r="A289" s="100">
        <v>51</v>
      </c>
      <c r="B289" s="100" t="s">
        <v>50</v>
      </c>
      <c r="C289" s="100" t="s">
        <v>2169</v>
      </c>
      <c r="D289" s="102" t="s">
        <v>571</v>
      </c>
      <c r="E289" s="100" t="str">
        <f t="shared" si="300"/>
        <v>Sama</v>
      </c>
      <c r="F289" s="63">
        <f t="shared" ref="F289:F297" si="314">SUBTOTAL(3,$G$7:G289)</f>
        <v>268</v>
      </c>
      <c r="G289" s="63">
        <v>1</v>
      </c>
      <c r="H289" s="62" t="s">
        <v>50</v>
      </c>
      <c r="I289" s="62" t="s">
        <v>571</v>
      </c>
      <c r="J289" s="66">
        <v>9072.4752857066742</v>
      </c>
      <c r="K289" s="533" t="s">
        <v>91</v>
      </c>
      <c r="L289" s="68">
        <f t="shared" ref="L289:L291" si="315">IF(S289&gt;0,S289,IF(Y289&gt;0,Y289,IF(AE289&gt;0,AE289,0)))</f>
        <v>6656.32</v>
      </c>
      <c r="M289" s="63"/>
      <c r="N289" s="392" t="e">
        <f t="shared" ref="N289:N297" si="316">VALUE(RIGHT(O289,4))</f>
        <v>#VALUE!</v>
      </c>
      <c r="O289" s="382"/>
      <c r="P289" s="68"/>
      <c r="Q289" s="68"/>
      <c r="R289" s="68"/>
      <c r="S289" s="68">
        <f t="shared" ref="S289:S297" si="317">IF(R289&gt;0,R289,IF(P289&gt;0,P289,0))</f>
        <v>0</v>
      </c>
      <c r="T289" s="63"/>
      <c r="U289" s="347" t="s">
        <v>1471</v>
      </c>
      <c r="V289" s="370">
        <v>0</v>
      </c>
      <c r="W289" s="370">
        <v>0</v>
      </c>
      <c r="X289" s="370">
        <v>0</v>
      </c>
      <c r="Y289" s="68">
        <f t="shared" ref="Y289:Y297" si="318">IF(X289&gt;0,X289,IF(V289&gt;0,V289,0))</f>
        <v>0</v>
      </c>
      <c r="Z289" s="345" t="s">
        <v>1076</v>
      </c>
      <c r="AA289" s="531" t="s">
        <v>972</v>
      </c>
      <c r="AB289" s="345">
        <v>6656.32</v>
      </c>
      <c r="AC289" s="345"/>
      <c r="AD289" s="345">
        <v>6656.32</v>
      </c>
      <c r="AE289" s="68">
        <f t="shared" ref="AE289:AE297" si="319">IF(AD289&gt;0,AD289,IF(AB289&gt;0,AB289,0))</f>
        <v>6656.32</v>
      </c>
      <c r="AF289" s="364">
        <v>2022</v>
      </c>
      <c r="AG289" s="344"/>
      <c r="AH289" s="84">
        <v>8597.3992707020534</v>
      </c>
      <c r="AI289" s="63"/>
      <c r="AJ289" s="63"/>
      <c r="AK289" s="63" t="str">
        <f t="shared" ref="AK289:AK297" si="320">CONCATENATE(M289,T289,Z289)</f>
        <v>V</v>
      </c>
      <c r="AL289" s="47"/>
      <c r="AM289" s="63" t="e">
        <f t="shared" ref="AM289:AM297" si="321">IF(N289=0,"3",IF(N289&lt;=2018,"2","1"))</f>
        <v>#VALUE!</v>
      </c>
      <c r="AN289" s="63" t="str">
        <f t="shared" ref="AN289:AN297" si="322">IF(S289&gt;0,"1","2")</f>
        <v>2</v>
      </c>
      <c r="AO289" s="63"/>
      <c r="AP289" s="346" t="str">
        <f t="shared" ref="AP289:AP297" si="323">IF(Y289&gt;0,"1",IF(AE289&gt;0,"1","2"))</f>
        <v>1</v>
      </c>
      <c r="AQ289" s="63" t="e">
        <f t="shared" ref="AQ289:AQ297" si="324">CONCATENATE(AM289,".",AN289,".",AO289,".",AP289)</f>
        <v>#VALUE!</v>
      </c>
      <c r="AR289" s="534"/>
      <c r="AS289" s="64" t="s">
        <v>972</v>
      </c>
      <c r="AT289" s="95">
        <v>9072.48</v>
      </c>
      <c r="AU289" s="95">
        <v>6656.32</v>
      </c>
      <c r="AV289" s="371">
        <f>AU289/AT289</f>
        <v>0.73368252120699085</v>
      </c>
      <c r="AW289" s="95">
        <v>6632.78</v>
      </c>
      <c r="AX289" s="371">
        <f>AW289/AT289</f>
        <v>0.73108786131245262</v>
      </c>
      <c r="AY289" s="95">
        <v>2439.69</v>
      </c>
      <c r="AZ289" s="371">
        <f>AY289/AT289</f>
        <v>0.26891103645309772</v>
      </c>
      <c r="BA289" s="47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</row>
    <row r="290" spans="1:68" ht="20.25" customHeight="1">
      <c r="A290" s="100">
        <v>51</v>
      </c>
      <c r="B290" s="100" t="s">
        <v>50</v>
      </c>
      <c r="C290" s="100" t="s">
        <v>2170</v>
      </c>
      <c r="D290" s="102" t="s">
        <v>573</v>
      </c>
      <c r="E290" s="100" t="str">
        <f t="shared" si="300"/>
        <v>Sama</v>
      </c>
      <c r="F290" s="63">
        <f t="shared" si="314"/>
        <v>269</v>
      </c>
      <c r="G290" s="63">
        <v>2</v>
      </c>
      <c r="H290" s="62" t="s">
        <v>50</v>
      </c>
      <c r="I290" s="62" t="s">
        <v>573</v>
      </c>
      <c r="J290" s="66">
        <v>2210.4473394580027</v>
      </c>
      <c r="K290" s="533" t="s">
        <v>104</v>
      </c>
      <c r="L290" s="68">
        <f t="shared" si="315"/>
        <v>0</v>
      </c>
      <c r="M290" s="63"/>
      <c r="N290" s="392" t="e">
        <f t="shared" si="316"/>
        <v>#VALUE!</v>
      </c>
      <c r="O290" s="382"/>
      <c r="P290" s="68"/>
      <c r="Q290" s="68"/>
      <c r="R290" s="68"/>
      <c r="S290" s="68">
        <f t="shared" si="317"/>
        <v>0</v>
      </c>
      <c r="T290" s="63"/>
      <c r="U290" s="347" t="s">
        <v>1517</v>
      </c>
      <c r="V290" s="370">
        <v>0</v>
      </c>
      <c r="W290" s="370">
        <v>0</v>
      </c>
      <c r="X290" s="370">
        <v>0</v>
      </c>
      <c r="Y290" s="68">
        <f t="shared" si="318"/>
        <v>0</v>
      </c>
      <c r="Z290" s="345"/>
      <c r="AA290" s="347"/>
      <c r="AB290" s="345"/>
      <c r="AC290" s="345"/>
      <c r="AD290" s="345"/>
      <c r="AE290" s="68">
        <f t="shared" si="319"/>
        <v>0</v>
      </c>
      <c r="AF290" s="366" t="s">
        <v>1097</v>
      </c>
      <c r="AG290" s="358"/>
      <c r="AH290" s="359">
        <v>2186.5898842993752</v>
      </c>
      <c r="AI290" s="360"/>
      <c r="AJ290" s="360" t="s">
        <v>1528</v>
      </c>
      <c r="AK290" s="360" t="str">
        <f t="shared" si="320"/>
        <v/>
      </c>
      <c r="AL290" s="18"/>
      <c r="AM290" s="360" t="e">
        <f t="shared" si="321"/>
        <v>#VALUE!</v>
      </c>
      <c r="AN290" s="360" t="str">
        <f t="shared" si="322"/>
        <v>2</v>
      </c>
      <c r="AO290" s="360"/>
      <c r="AP290" s="346" t="str">
        <f t="shared" si="323"/>
        <v>2</v>
      </c>
      <c r="AQ290" s="360" t="e">
        <f t="shared" si="324"/>
        <v>#VALUE!</v>
      </c>
      <c r="AR290" s="530"/>
      <c r="AS290" s="347"/>
      <c r="AT290" s="362"/>
      <c r="AU290" s="362"/>
      <c r="AV290" s="362"/>
      <c r="AW290" s="362"/>
      <c r="AX290" s="362"/>
      <c r="AY290" s="362"/>
      <c r="AZ290" s="362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</row>
    <row r="291" spans="1:68" ht="20.25" customHeight="1">
      <c r="A291" s="100">
        <v>51</v>
      </c>
      <c r="B291" s="100" t="s">
        <v>50</v>
      </c>
      <c r="C291" s="100" t="s">
        <v>2171</v>
      </c>
      <c r="D291" s="102" t="s">
        <v>574</v>
      </c>
      <c r="E291" s="100" t="str">
        <f t="shared" si="300"/>
        <v>Sama</v>
      </c>
      <c r="F291" s="63">
        <f t="shared" si="314"/>
        <v>270</v>
      </c>
      <c r="G291" s="63">
        <v>3</v>
      </c>
      <c r="H291" s="62" t="s">
        <v>50</v>
      </c>
      <c r="I291" s="62" t="s">
        <v>574</v>
      </c>
      <c r="J291" s="66">
        <v>8860.6571979158343</v>
      </c>
      <c r="K291" s="533" t="s">
        <v>104</v>
      </c>
      <c r="L291" s="68">
        <f t="shared" si="315"/>
        <v>9250</v>
      </c>
      <c r="M291" s="63"/>
      <c r="N291" s="392">
        <f t="shared" si="316"/>
        <v>2013</v>
      </c>
      <c r="O291" s="382" t="s">
        <v>941</v>
      </c>
      <c r="P291" s="68">
        <v>9250</v>
      </c>
      <c r="Q291" s="68">
        <v>0</v>
      </c>
      <c r="R291" s="68">
        <v>9250</v>
      </c>
      <c r="S291" s="68">
        <f t="shared" si="317"/>
        <v>9250</v>
      </c>
      <c r="T291" s="63"/>
      <c r="U291" s="347" t="s">
        <v>1530</v>
      </c>
      <c r="V291" s="370"/>
      <c r="W291" s="370"/>
      <c r="X291" s="370"/>
      <c r="Y291" s="68">
        <f t="shared" si="318"/>
        <v>0</v>
      </c>
      <c r="Z291" s="345"/>
      <c r="AA291" s="347"/>
      <c r="AB291" s="345"/>
      <c r="AC291" s="345"/>
      <c r="AD291" s="345"/>
      <c r="AE291" s="68">
        <f t="shared" si="319"/>
        <v>0</v>
      </c>
      <c r="AF291" s="366">
        <v>2023</v>
      </c>
      <c r="AG291" s="358" t="s">
        <v>1090</v>
      </c>
      <c r="AH291" s="359">
        <v>8579.8626757011079</v>
      </c>
      <c r="AI291" s="360"/>
      <c r="AJ291" s="360" t="s">
        <v>1528</v>
      </c>
      <c r="AK291" s="360" t="str">
        <f t="shared" si="320"/>
        <v/>
      </c>
      <c r="AL291" s="18"/>
      <c r="AM291" s="360" t="str">
        <f t="shared" si="321"/>
        <v>2</v>
      </c>
      <c r="AN291" s="360" t="str">
        <f t="shared" si="322"/>
        <v>1</v>
      </c>
      <c r="AO291" s="360"/>
      <c r="AP291" s="346" t="str">
        <f t="shared" si="323"/>
        <v>2</v>
      </c>
      <c r="AQ291" s="360" t="str">
        <f t="shared" si="324"/>
        <v>2.1..2</v>
      </c>
      <c r="AR291" s="530"/>
      <c r="AS291" s="360"/>
      <c r="AT291" s="362"/>
      <c r="AU291" s="362"/>
      <c r="AV291" s="362"/>
      <c r="AW291" s="362"/>
      <c r="AX291" s="362"/>
      <c r="AY291" s="362"/>
      <c r="AZ291" s="362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</row>
    <row r="292" spans="1:68" ht="20.25" customHeight="1">
      <c r="A292" s="100">
        <v>51</v>
      </c>
      <c r="B292" s="100" t="s">
        <v>50</v>
      </c>
      <c r="C292" s="100" t="s">
        <v>2172</v>
      </c>
      <c r="D292" s="102" t="s">
        <v>576</v>
      </c>
      <c r="E292" s="100" t="str">
        <f t="shared" si="300"/>
        <v>Sama</v>
      </c>
      <c r="F292" s="63">
        <f t="shared" si="314"/>
        <v>271</v>
      </c>
      <c r="G292" s="63">
        <v>4</v>
      </c>
      <c r="H292" s="62" t="s">
        <v>50</v>
      </c>
      <c r="I292" s="62" t="s">
        <v>576</v>
      </c>
      <c r="J292" s="66">
        <v>11780.804680852652</v>
      </c>
      <c r="K292" s="533" t="s">
        <v>91</v>
      </c>
      <c r="L292" s="68">
        <f>AE292</f>
        <v>7135.27</v>
      </c>
      <c r="M292" s="63"/>
      <c r="N292" s="392">
        <f t="shared" si="316"/>
        <v>2012</v>
      </c>
      <c r="O292" s="382" t="s">
        <v>1497</v>
      </c>
      <c r="P292" s="68">
        <v>14667</v>
      </c>
      <c r="Q292" s="68">
        <v>0</v>
      </c>
      <c r="R292" s="68">
        <v>14667</v>
      </c>
      <c r="S292" s="68">
        <f t="shared" si="317"/>
        <v>14667</v>
      </c>
      <c r="T292" s="63"/>
      <c r="U292" s="385" t="s">
        <v>1532</v>
      </c>
      <c r="V292" s="370">
        <v>0</v>
      </c>
      <c r="W292" s="370">
        <v>0</v>
      </c>
      <c r="X292" s="370">
        <v>0</v>
      </c>
      <c r="Y292" s="68">
        <f t="shared" si="318"/>
        <v>0</v>
      </c>
      <c r="Z292" s="345" t="s">
        <v>1076</v>
      </c>
      <c r="AA292" s="541" t="s">
        <v>577</v>
      </c>
      <c r="AB292" s="345">
        <v>7135.27</v>
      </c>
      <c r="AC292" s="345"/>
      <c r="AD292" s="345"/>
      <c r="AE292" s="68">
        <f t="shared" si="319"/>
        <v>7135.27</v>
      </c>
      <c r="AF292" s="364">
        <v>2022</v>
      </c>
      <c r="AG292" s="344"/>
      <c r="AH292" s="84">
        <v>10514.342169556719</v>
      </c>
      <c r="AI292" s="63"/>
      <c r="AJ292" s="63" t="s">
        <v>1528</v>
      </c>
      <c r="AK292" s="63" t="str">
        <f t="shared" si="320"/>
        <v>V</v>
      </c>
      <c r="AL292" s="47"/>
      <c r="AM292" s="63" t="str">
        <f t="shared" si="321"/>
        <v>2</v>
      </c>
      <c r="AN292" s="63" t="str">
        <f t="shared" si="322"/>
        <v>1</v>
      </c>
      <c r="AO292" s="63"/>
      <c r="AP292" s="346" t="str">
        <f t="shared" si="323"/>
        <v>1</v>
      </c>
      <c r="AQ292" s="63" t="str">
        <f t="shared" si="324"/>
        <v>2.1..1</v>
      </c>
      <c r="AR292" s="534"/>
      <c r="AS292" s="64" t="s">
        <v>2173</v>
      </c>
      <c r="AT292" s="95">
        <v>11780.8</v>
      </c>
      <c r="AU292" s="95">
        <v>7135.27</v>
      </c>
      <c r="AV292" s="371">
        <f>AU292/AT292</f>
        <v>0.60566939426864053</v>
      </c>
      <c r="AW292" s="95">
        <v>7114.92</v>
      </c>
      <c r="AX292" s="371">
        <f>AW292/AT292</f>
        <v>0.60394200733396719</v>
      </c>
      <c r="AY292" s="95">
        <v>4665.88</v>
      </c>
      <c r="AZ292" s="371">
        <f>AY292/AT292</f>
        <v>0.39605799266603292</v>
      </c>
      <c r="BA292" s="47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</row>
    <row r="293" spans="1:68" ht="20.25" customHeight="1">
      <c r="A293" s="100">
        <v>51</v>
      </c>
      <c r="B293" s="100" t="s">
        <v>50</v>
      </c>
      <c r="C293" s="100" t="s">
        <v>2174</v>
      </c>
      <c r="D293" s="102" t="s">
        <v>578</v>
      </c>
      <c r="E293" s="100" t="str">
        <f t="shared" si="300"/>
        <v>Sama</v>
      </c>
      <c r="F293" s="63">
        <f t="shared" si="314"/>
        <v>272</v>
      </c>
      <c r="G293" s="63">
        <v>5</v>
      </c>
      <c r="H293" s="62" t="s">
        <v>50</v>
      </c>
      <c r="I293" s="62" t="s">
        <v>578</v>
      </c>
      <c r="J293" s="66">
        <v>7139.6798480712105</v>
      </c>
      <c r="K293" s="533" t="s">
        <v>104</v>
      </c>
      <c r="L293" s="68">
        <f t="shared" ref="L293:L295" si="325">IF(S293&gt;0,S293,IF(Y293&gt;0,Y293,IF(AE293&gt;0,AE293,0)))</f>
        <v>7498.12</v>
      </c>
      <c r="M293" s="63"/>
      <c r="N293" s="392">
        <f t="shared" si="316"/>
        <v>2012</v>
      </c>
      <c r="O293" s="382" t="s">
        <v>323</v>
      </c>
      <c r="P293" s="68">
        <v>7498.12</v>
      </c>
      <c r="Q293" s="68">
        <v>0</v>
      </c>
      <c r="R293" s="68">
        <v>7498.12</v>
      </c>
      <c r="S293" s="68">
        <f t="shared" si="317"/>
        <v>7498.12</v>
      </c>
      <c r="T293" s="63"/>
      <c r="U293" s="385" t="s">
        <v>1534</v>
      </c>
      <c r="V293" s="370">
        <v>7498.12</v>
      </c>
      <c r="W293" s="370">
        <v>0</v>
      </c>
      <c r="X293" s="370">
        <v>7498.12</v>
      </c>
      <c r="Y293" s="68">
        <f t="shared" si="318"/>
        <v>7498.12</v>
      </c>
      <c r="Z293" s="345"/>
      <c r="AA293" s="385"/>
      <c r="AB293" s="345"/>
      <c r="AC293" s="345"/>
      <c r="AD293" s="345"/>
      <c r="AE293" s="68">
        <f t="shared" si="319"/>
        <v>0</v>
      </c>
      <c r="AF293" s="366">
        <v>2023</v>
      </c>
      <c r="AG293" s="358" t="s">
        <v>1090</v>
      </c>
      <c r="AH293" s="359">
        <v>6999.1901005096151</v>
      </c>
      <c r="AI293" s="360"/>
      <c r="AJ293" s="360"/>
      <c r="AK293" s="360" t="str">
        <f t="shared" si="320"/>
        <v/>
      </c>
      <c r="AL293" s="18"/>
      <c r="AM293" s="360" t="str">
        <f t="shared" si="321"/>
        <v>2</v>
      </c>
      <c r="AN293" s="360" t="str">
        <f t="shared" si="322"/>
        <v>1</v>
      </c>
      <c r="AO293" s="360"/>
      <c r="AP293" s="346" t="str">
        <f t="shared" si="323"/>
        <v>1</v>
      </c>
      <c r="AQ293" s="360" t="str">
        <f t="shared" si="324"/>
        <v>2.1..1</v>
      </c>
      <c r="AR293" s="530"/>
      <c r="AS293" s="360"/>
      <c r="AT293" s="362"/>
      <c r="AU293" s="362"/>
      <c r="AV293" s="362"/>
      <c r="AW293" s="362"/>
      <c r="AX293" s="362"/>
      <c r="AY293" s="362"/>
      <c r="AZ293" s="362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</row>
    <row r="294" spans="1:68" ht="20.25" customHeight="1">
      <c r="A294" s="100">
        <v>51</v>
      </c>
      <c r="B294" s="100" t="s">
        <v>50</v>
      </c>
      <c r="C294" s="100" t="s">
        <v>2175</v>
      </c>
      <c r="D294" s="102" t="s">
        <v>579</v>
      </c>
      <c r="E294" s="100" t="str">
        <f t="shared" si="300"/>
        <v>Sama</v>
      </c>
      <c r="F294" s="63">
        <f t="shared" si="314"/>
        <v>273</v>
      </c>
      <c r="G294" s="63">
        <v>6</v>
      </c>
      <c r="H294" s="62" t="s">
        <v>50</v>
      </c>
      <c r="I294" s="62" t="s">
        <v>579</v>
      </c>
      <c r="J294" s="66">
        <v>6584.1438484407881</v>
      </c>
      <c r="K294" s="533" t="s">
        <v>91</v>
      </c>
      <c r="L294" s="68">
        <f t="shared" si="325"/>
        <v>6116</v>
      </c>
      <c r="M294" s="63" t="s">
        <v>1076</v>
      </c>
      <c r="N294" s="365">
        <f t="shared" si="316"/>
        <v>2020</v>
      </c>
      <c r="O294" s="347" t="s">
        <v>568</v>
      </c>
      <c r="P294" s="370">
        <v>0</v>
      </c>
      <c r="Q294" s="370">
        <v>0</v>
      </c>
      <c r="R294" s="370">
        <v>6116</v>
      </c>
      <c r="S294" s="68">
        <f t="shared" si="317"/>
        <v>6116</v>
      </c>
      <c r="T294" s="63"/>
      <c r="U294" s="347"/>
      <c r="V294" s="370"/>
      <c r="W294" s="370"/>
      <c r="X294" s="370"/>
      <c r="Y294" s="68">
        <f t="shared" si="318"/>
        <v>0</v>
      </c>
      <c r="Z294" s="345"/>
      <c r="AA294" s="347"/>
      <c r="AB294" s="345"/>
      <c r="AC294" s="345"/>
      <c r="AD294" s="345"/>
      <c r="AE294" s="68">
        <f t="shared" si="319"/>
        <v>0</v>
      </c>
      <c r="AF294" s="366" t="s">
        <v>1536</v>
      </c>
      <c r="AG294" s="358"/>
      <c r="AH294" s="359">
        <v>6427.6602747881543</v>
      </c>
      <c r="AI294" s="360"/>
      <c r="AJ294" s="360"/>
      <c r="AK294" s="360" t="str">
        <f t="shared" si="320"/>
        <v>V</v>
      </c>
      <c r="AL294" s="18"/>
      <c r="AM294" s="360" t="str">
        <f t="shared" si="321"/>
        <v>1</v>
      </c>
      <c r="AN294" s="360" t="str">
        <f t="shared" si="322"/>
        <v>1</v>
      </c>
      <c r="AO294" s="360"/>
      <c r="AP294" s="346" t="str">
        <f t="shared" si="323"/>
        <v>2</v>
      </c>
      <c r="AQ294" s="360" t="str">
        <f t="shared" si="324"/>
        <v>1.1..2</v>
      </c>
      <c r="AR294" s="530"/>
      <c r="AS294" s="347" t="s">
        <v>2176</v>
      </c>
      <c r="AT294" s="367">
        <v>6584</v>
      </c>
      <c r="AU294" s="367">
        <v>6117</v>
      </c>
      <c r="AV294" s="368">
        <f>AU294/AT294</f>
        <v>0.92907047387606323</v>
      </c>
      <c r="AW294" s="367">
        <v>5441</v>
      </c>
      <c r="AX294" s="368">
        <f>AW294/AT294</f>
        <v>0.82639732685297695</v>
      </c>
      <c r="AY294" s="367">
        <v>1143</v>
      </c>
      <c r="AZ294" s="368">
        <f>AY294/AT294</f>
        <v>0.17360267314702307</v>
      </c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</row>
    <row r="295" spans="1:68" ht="20.25" customHeight="1">
      <c r="A295" s="100">
        <v>51</v>
      </c>
      <c r="B295" s="100" t="s">
        <v>50</v>
      </c>
      <c r="C295" s="100" t="s">
        <v>2177</v>
      </c>
      <c r="D295" s="102" t="s">
        <v>580</v>
      </c>
      <c r="E295" s="100" t="str">
        <f t="shared" si="300"/>
        <v>Sama</v>
      </c>
      <c r="F295" s="63">
        <f t="shared" si="314"/>
        <v>274</v>
      </c>
      <c r="G295" s="63">
        <v>7</v>
      </c>
      <c r="H295" s="62" t="s">
        <v>50</v>
      </c>
      <c r="I295" s="62" t="s">
        <v>580</v>
      </c>
      <c r="J295" s="66">
        <v>3572.2235155293615</v>
      </c>
      <c r="K295" s="533" t="s">
        <v>104</v>
      </c>
      <c r="L295" s="68">
        <f t="shared" si="325"/>
        <v>3496</v>
      </c>
      <c r="M295" s="63"/>
      <c r="N295" s="392">
        <f t="shared" si="316"/>
        <v>2013</v>
      </c>
      <c r="O295" s="382" t="s">
        <v>1538</v>
      </c>
      <c r="P295" s="68">
        <v>3496</v>
      </c>
      <c r="Q295" s="68">
        <v>0</v>
      </c>
      <c r="R295" s="68">
        <v>3496</v>
      </c>
      <c r="S295" s="68">
        <f t="shared" si="317"/>
        <v>3496</v>
      </c>
      <c r="T295" s="63"/>
      <c r="U295" s="347"/>
      <c r="V295" s="370"/>
      <c r="W295" s="370"/>
      <c r="X295" s="370"/>
      <c r="Y295" s="68">
        <f t="shared" si="318"/>
        <v>0</v>
      </c>
      <c r="Z295" s="345"/>
      <c r="AA295" s="347"/>
      <c r="AB295" s="345"/>
      <c r="AC295" s="345"/>
      <c r="AD295" s="345"/>
      <c r="AE295" s="68">
        <f t="shared" si="319"/>
        <v>0</v>
      </c>
      <c r="AF295" s="366">
        <v>2023</v>
      </c>
      <c r="AG295" s="358" t="s">
        <v>1090</v>
      </c>
      <c r="AH295" s="359">
        <v>3411.6959586837093</v>
      </c>
      <c r="AI295" s="360"/>
      <c r="AJ295" s="360"/>
      <c r="AK295" s="360" t="str">
        <f t="shared" si="320"/>
        <v/>
      </c>
      <c r="AL295" s="18"/>
      <c r="AM295" s="360" t="str">
        <f t="shared" si="321"/>
        <v>2</v>
      </c>
      <c r="AN295" s="360" t="str">
        <f t="shared" si="322"/>
        <v>1</v>
      </c>
      <c r="AO295" s="360"/>
      <c r="AP295" s="346" t="str">
        <f t="shared" si="323"/>
        <v>2</v>
      </c>
      <c r="AQ295" s="360" t="str">
        <f t="shared" si="324"/>
        <v>2.1..2</v>
      </c>
      <c r="AR295" s="530"/>
      <c r="AS295" s="360"/>
      <c r="AT295" s="362"/>
      <c r="AU295" s="362"/>
      <c r="AV295" s="362"/>
      <c r="AW295" s="362"/>
      <c r="AX295" s="362"/>
      <c r="AY295" s="362"/>
      <c r="AZ295" s="362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</row>
    <row r="296" spans="1:68" ht="20.25" customHeight="1">
      <c r="A296" s="100">
        <v>51</v>
      </c>
      <c r="B296" s="100" t="s">
        <v>50</v>
      </c>
      <c r="C296" s="100" t="s">
        <v>2178</v>
      </c>
      <c r="D296" s="102" t="s">
        <v>582</v>
      </c>
      <c r="E296" s="100" t="str">
        <f t="shared" si="300"/>
        <v>Sama</v>
      </c>
      <c r="F296" s="63">
        <f t="shared" si="314"/>
        <v>275</v>
      </c>
      <c r="G296" s="63">
        <v>8</v>
      </c>
      <c r="H296" s="62" t="s">
        <v>50</v>
      </c>
      <c r="I296" s="62" t="s">
        <v>582</v>
      </c>
      <c r="J296" s="66">
        <v>19611.384850335791</v>
      </c>
      <c r="K296" s="533" t="s">
        <v>91</v>
      </c>
      <c r="L296" s="68">
        <f>AE296</f>
        <v>16013.86</v>
      </c>
      <c r="M296" s="63"/>
      <c r="N296" s="392">
        <f t="shared" si="316"/>
        <v>2012</v>
      </c>
      <c r="O296" s="382" t="s">
        <v>323</v>
      </c>
      <c r="P296" s="68">
        <v>18831</v>
      </c>
      <c r="Q296" s="68">
        <v>0</v>
      </c>
      <c r="R296" s="68">
        <v>18831</v>
      </c>
      <c r="S296" s="68">
        <f t="shared" si="317"/>
        <v>18831</v>
      </c>
      <c r="T296" s="63"/>
      <c r="U296" s="385" t="s">
        <v>1541</v>
      </c>
      <c r="V296" s="370">
        <v>0</v>
      </c>
      <c r="W296" s="370">
        <v>0</v>
      </c>
      <c r="X296" s="370">
        <v>0</v>
      </c>
      <c r="Y296" s="68">
        <f t="shared" si="318"/>
        <v>0</v>
      </c>
      <c r="Z296" s="345" t="s">
        <v>1076</v>
      </c>
      <c r="AA296" s="536" t="s">
        <v>583</v>
      </c>
      <c r="AB296" s="403">
        <v>16013.86</v>
      </c>
      <c r="AC296" s="345"/>
      <c r="AD296" s="345"/>
      <c r="AE296" s="68">
        <f t="shared" si="319"/>
        <v>16013.86</v>
      </c>
      <c r="AF296" s="364">
        <v>2022</v>
      </c>
      <c r="AG296" s="344"/>
      <c r="AH296" s="84">
        <v>19357.554110894354</v>
      </c>
      <c r="AI296" s="63"/>
      <c r="AJ296" s="63"/>
      <c r="AK296" s="63" t="str">
        <f t="shared" si="320"/>
        <v>V</v>
      </c>
      <c r="AL296" s="47"/>
      <c r="AM296" s="63" t="str">
        <f t="shared" si="321"/>
        <v>2</v>
      </c>
      <c r="AN296" s="63" t="str">
        <f t="shared" si="322"/>
        <v>1</v>
      </c>
      <c r="AO296" s="63"/>
      <c r="AP296" s="346" t="str">
        <f t="shared" si="323"/>
        <v>1</v>
      </c>
      <c r="AQ296" s="63" t="str">
        <f t="shared" si="324"/>
        <v>2.1..1</v>
      </c>
      <c r="AR296" s="534"/>
      <c r="AS296" s="64" t="s">
        <v>2179</v>
      </c>
      <c r="AT296" s="95">
        <v>19611.38</v>
      </c>
      <c r="AU296" s="95">
        <v>16013.86</v>
      </c>
      <c r="AV296" s="371">
        <f t="shared" ref="AV296:AV297" si="326">AU296/AT296</f>
        <v>0.81655956898494653</v>
      </c>
      <c r="AW296" s="95">
        <v>16013.42</v>
      </c>
      <c r="AX296" s="371">
        <f t="shared" ref="AX296:AX297" si="327">AW296/AT296</f>
        <v>0.81653713303194364</v>
      </c>
      <c r="AY296" s="95">
        <v>3597.97</v>
      </c>
      <c r="AZ296" s="371">
        <f t="shared" ref="AZ296:AZ297" si="328">AY296/AT296</f>
        <v>0.18346337687607908</v>
      </c>
      <c r="BA296" s="47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</row>
    <row r="297" spans="1:68" ht="20.25" customHeight="1">
      <c r="A297" s="100">
        <v>51</v>
      </c>
      <c r="B297" s="100" t="s">
        <v>50</v>
      </c>
      <c r="C297" s="100" t="s">
        <v>2180</v>
      </c>
      <c r="D297" s="102" t="s">
        <v>584</v>
      </c>
      <c r="E297" s="100" t="str">
        <f t="shared" si="300"/>
        <v>Sama</v>
      </c>
      <c r="F297" s="63">
        <f t="shared" si="314"/>
        <v>276</v>
      </c>
      <c r="G297" s="63">
        <v>9</v>
      </c>
      <c r="H297" s="62" t="s">
        <v>50</v>
      </c>
      <c r="I297" s="62" t="s">
        <v>584</v>
      </c>
      <c r="J297" s="66">
        <v>2164.0629831683145</v>
      </c>
      <c r="K297" s="533" t="s">
        <v>91</v>
      </c>
      <c r="L297" s="68">
        <f>IF(S297&gt;0,S297,IF(Y297&gt;0,Y297,IF(AE297&gt;0,AE297,0)))</f>
        <v>1081</v>
      </c>
      <c r="M297" s="63" t="s">
        <v>1076</v>
      </c>
      <c r="N297" s="392">
        <f t="shared" si="316"/>
        <v>2021</v>
      </c>
      <c r="O297" s="382" t="s">
        <v>542</v>
      </c>
      <c r="P297" s="68"/>
      <c r="Q297" s="68">
        <v>0</v>
      </c>
      <c r="R297" s="68">
        <v>1081</v>
      </c>
      <c r="S297" s="68">
        <f t="shared" si="317"/>
        <v>1081</v>
      </c>
      <c r="T297" s="63"/>
      <c r="U297" s="347"/>
      <c r="V297" s="370"/>
      <c r="W297" s="370"/>
      <c r="X297" s="370"/>
      <c r="Y297" s="68">
        <f t="shared" si="318"/>
        <v>0</v>
      </c>
      <c r="Z297" s="345"/>
      <c r="AA297" s="347"/>
      <c r="AB297" s="345"/>
      <c r="AC297" s="345"/>
      <c r="AD297" s="345"/>
      <c r="AE297" s="68">
        <f t="shared" si="319"/>
        <v>0</v>
      </c>
      <c r="AF297" s="366">
        <v>2020</v>
      </c>
      <c r="AG297" s="358"/>
      <c r="AH297" s="359">
        <v>1604.6700783030042</v>
      </c>
      <c r="AI297" s="360"/>
      <c r="AJ297" s="360"/>
      <c r="AK297" s="360" t="str">
        <f t="shared" si="320"/>
        <v>V</v>
      </c>
      <c r="AL297" s="18"/>
      <c r="AM297" s="360" t="str">
        <f t="shared" si="321"/>
        <v>1</v>
      </c>
      <c r="AN297" s="360" t="str">
        <f t="shared" si="322"/>
        <v>1</v>
      </c>
      <c r="AO297" s="360"/>
      <c r="AP297" s="346" t="str">
        <f t="shared" si="323"/>
        <v>2</v>
      </c>
      <c r="AQ297" s="360" t="str">
        <f t="shared" si="324"/>
        <v>1.1..2</v>
      </c>
      <c r="AR297" s="530"/>
      <c r="AS297" s="347" t="s">
        <v>542</v>
      </c>
      <c r="AT297" s="367">
        <v>2164</v>
      </c>
      <c r="AU297" s="367">
        <v>1082</v>
      </c>
      <c r="AV297" s="368">
        <f t="shared" si="326"/>
        <v>0.5</v>
      </c>
      <c r="AW297" s="367">
        <v>1082</v>
      </c>
      <c r="AX297" s="368">
        <f t="shared" si="327"/>
        <v>0.5</v>
      </c>
      <c r="AY297" s="367">
        <v>1082</v>
      </c>
      <c r="AZ297" s="368">
        <f t="shared" si="328"/>
        <v>0.5</v>
      </c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</row>
    <row r="298" spans="1:68" ht="20.25" customHeight="1">
      <c r="A298" s="100">
        <v>52</v>
      </c>
      <c r="B298" s="100" t="s">
        <v>51</v>
      </c>
      <c r="C298" s="100">
        <v>52</v>
      </c>
      <c r="D298" s="102" t="s">
        <v>2181</v>
      </c>
      <c r="E298" s="100" t="str">
        <f t="shared" si="300"/>
        <v>Sama</v>
      </c>
      <c r="F298" s="63"/>
      <c r="G298" s="342"/>
      <c r="H298" s="379"/>
      <c r="I298" s="379" t="s">
        <v>2181</v>
      </c>
      <c r="J298" s="380"/>
      <c r="K298" s="353">
        <f>COUNTIF(K299:K308,"D") + COUNTIF(K299:K308,"DS")</f>
        <v>7</v>
      </c>
      <c r="L298" s="384">
        <f>SUBTOTAL(9,L299:L308)</f>
        <v>193990.93</v>
      </c>
      <c r="M298" s="342"/>
      <c r="N298" s="386"/>
      <c r="O298" s="351"/>
      <c r="P298" s="384">
        <f t="shared" ref="P298:S298" si="329">SUBTOTAL(9,P299:P308)</f>
        <v>16495</v>
      </c>
      <c r="Q298" s="384">
        <f t="shared" si="329"/>
        <v>0</v>
      </c>
      <c r="R298" s="384">
        <f t="shared" si="329"/>
        <v>30418.54</v>
      </c>
      <c r="S298" s="384">
        <f t="shared" si="329"/>
        <v>30418.54</v>
      </c>
      <c r="T298" s="342"/>
      <c r="U298" s="351"/>
      <c r="V298" s="384">
        <v>845.18</v>
      </c>
      <c r="W298" s="384">
        <v>0</v>
      </c>
      <c r="X298" s="384">
        <v>0</v>
      </c>
      <c r="Y298" s="384">
        <f>SUBTOTAL(9,Y299:Y308)</f>
        <v>845.18</v>
      </c>
      <c r="Z298" s="337">
        <v>2</v>
      </c>
      <c r="AA298" s="351">
        <v>2</v>
      </c>
      <c r="AB298" s="337">
        <v>845.18</v>
      </c>
      <c r="AC298" s="337">
        <v>0</v>
      </c>
      <c r="AD298" s="337">
        <v>0</v>
      </c>
      <c r="AE298" s="384">
        <f>SUBTOTAL(9,AE299:AE308)</f>
        <v>162727.21000000002</v>
      </c>
      <c r="AF298" s="357" t="s">
        <v>1138</v>
      </c>
      <c r="AG298" s="358"/>
      <c r="AH298" s="359">
        <f>SUM(AH299:AH308)</f>
        <v>233561.69662477481</v>
      </c>
      <c r="AI298" s="360"/>
      <c r="AJ298" s="360"/>
      <c r="AK298" s="361">
        <f>COUNTIF(AK299:AK308,"V") + COUNTIF(AK299:AK308,"VV") + COUNTIF(AK299:AK308,"VVV")</f>
        <v>5</v>
      </c>
      <c r="AL298" s="18"/>
      <c r="AM298" s="360"/>
      <c r="AN298" s="360"/>
      <c r="AO298" s="360"/>
      <c r="AP298" s="346"/>
      <c r="AQ298" s="360"/>
      <c r="AR298" s="530"/>
      <c r="AS298" s="360"/>
      <c r="AT298" s="362"/>
      <c r="AU298" s="362"/>
      <c r="AV298" s="362"/>
      <c r="AW298" s="362"/>
      <c r="AX298" s="362"/>
      <c r="AY298" s="362"/>
      <c r="AZ298" s="362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</row>
    <row r="299" spans="1:68" ht="20.25" customHeight="1">
      <c r="A299" s="100">
        <v>52</v>
      </c>
      <c r="B299" s="100" t="s">
        <v>51</v>
      </c>
      <c r="C299" s="100" t="s">
        <v>2182</v>
      </c>
      <c r="D299" s="102" t="s">
        <v>585</v>
      </c>
      <c r="E299" s="100" t="str">
        <f t="shared" si="300"/>
        <v>Sama</v>
      </c>
      <c r="F299" s="63">
        <f t="shared" ref="F299:F308" si="330">SUBTOTAL(3,$G$7:G299)</f>
        <v>277</v>
      </c>
      <c r="G299" s="63">
        <v>1</v>
      </c>
      <c r="H299" s="64" t="s">
        <v>51</v>
      </c>
      <c r="I299" s="64" t="s">
        <v>585</v>
      </c>
      <c r="J299" s="84">
        <v>41098.590661478658</v>
      </c>
      <c r="K299" s="533" t="s">
        <v>661</v>
      </c>
      <c r="L299" s="68">
        <f t="shared" ref="L299:L308" si="331">IF(S299&gt;0,S299,IF(Y299&gt;0,Y299,IF(AE299&gt;0,AE299,0)))</f>
        <v>0</v>
      </c>
      <c r="M299" s="63"/>
      <c r="N299" s="392" t="e">
        <f t="shared" ref="N299:N308" si="332">VALUE(RIGHT(O299,4))</f>
        <v>#VALUE!</v>
      </c>
      <c r="O299" s="382"/>
      <c r="P299" s="68"/>
      <c r="Q299" s="68"/>
      <c r="R299" s="68"/>
      <c r="S299" s="68">
        <f t="shared" ref="S299:S308" si="333">IF(R299&gt;0,R299,IF(P299&gt;0,P299,0))</f>
        <v>0</v>
      </c>
      <c r="T299" s="63"/>
      <c r="U299" s="347"/>
      <c r="V299" s="370"/>
      <c r="W299" s="370"/>
      <c r="X299" s="370"/>
      <c r="Y299" s="68">
        <f t="shared" ref="Y299:Y308" si="334">IF(X299&gt;0,X299,IF(V299&gt;0,V299,0))</f>
        <v>0</v>
      </c>
      <c r="Z299" s="345"/>
      <c r="AA299" s="347"/>
      <c r="AB299" s="345"/>
      <c r="AC299" s="345"/>
      <c r="AD299" s="345"/>
      <c r="AE299" s="68">
        <f t="shared" ref="AE299:AE308" si="335">IF(AD299&gt;0,AD299,IF(AB299&gt;0,AB299,0))</f>
        <v>0</v>
      </c>
      <c r="AF299" s="366" t="s">
        <v>1129</v>
      </c>
      <c r="AG299" s="358" t="s">
        <v>1090</v>
      </c>
      <c r="AH299" s="359">
        <v>39529.150394434342</v>
      </c>
      <c r="AI299" s="360"/>
      <c r="AJ299" s="360"/>
      <c r="AK299" s="360" t="str">
        <f t="shared" ref="AK299:AK308" si="336">CONCATENATE(M299,T299,Z299)</f>
        <v/>
      </c>
      <c r="AL299" s="18"/>
      <c r="AM299" s="360" t="e">
        <f t="shared" ref="AM299:AM308" si="337">IF(N299=0,"3",IF(N299&lt;=2018,"2","1"))</f>
        <v>#VALUE!</v>
      </c>
      <c r="AN299" s="360" t="str">
        <f t="shared" ref="AN299:AN308" si="338">IF(S299&gt;0,"1","2")</f>
        <v>2</v>
      </c>
      <c r="AO299" s="360"/>
      <c r="AP299" s="346" t="str">
        <f t="shared" ref="AP299:AP308" si="339">IF(Y299&gt;0,"1",IF(AE299&gt;0,"1","2"))</f>
        <v>2</v>
      </c>
      <c r="AQ299" s="360" t="e">
        <f t="shared" ref="AQ299:AQ308" si="340">CONCATENATE(AM299,".",AN299,".",AO299,".",AP299)</f>
        <v>#VALUE!</v>
      </c>
      <c r="AR299" s="530"/>
      <c r="AS299" s="360"/>
      <c r="AT299" s="362"/>
      <c r="AU299" s="362"/>
      <c r="AV299" s="362"/>
      <c r="AW299" s="362"/>
      <c r="AX299" s="362"/>
      <c r="AY299" s="362"/>
      <c r="AZ299" s="362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</row>
    <row r="300" spans="1:68" ht="20.25" customHeight="1">
      <c r="A300" s="100">
        <v>52</v>
      </c>
      <c r="B300" s="100" t="s">
        <v>51</v>
      </c>
      <c r="C300" s="100" t="s">
        <v>2183</v>
      </c>
      <c r="D300" s="102" t="s">
        <v>587</v>
      </c>
      <c r="E300" s="100" t="str">
        <f t="shared" si="300"/>
        <v>Sama</v>
      </c>
      <c r="F300" s="63">
        <f t="shared" si="330"/>
        <v>278</v>
      </c>
      <c r="G300" s="63">
        <v>2</v>
      </c>
      <c r="H300" s="64" t="s">
        <v>51</v>
      </c>
      <c r="I300" s="62" t="s">
        <v>587</v>
      </c>
      <c r="J300" s="66">
        <v>16843.85038115488</v>
      </c>
      <c r="K300" s="533" t="s">
        <v>104</v>
      </c>
      <c r="L300" s="68">
        <f t="shared" si="331"/>
        <v>15985</v>
      </c>
      <c r="M300" s="63"/>
      <c r="N300" s="392">
        <f t="shared" si="332"/>
        <v>2012</v>
      </c>
      <c r="O300" s="382" t="s">
        <v>588</v>
      </c>
      <c r="P300" s="68">
        <v>15985</v>
      </c>
      <c r="Q300" s="68">
        <v>0</v>
      </c>
      <c r="R300" s="68">
        <v>15985</v>
      </c>
      <c r="S300" s="68">
        <f t="shared" si="333"/>
        <v>15985</v>
      </c>
      <c r="T300" s="63"/>
      <c r="U300" s="347"/>
      <c r="V300" s="370"/>
      <c r="W300" s="370"/>
      <c r="X300" s="370"/>
      <c r="Y300" s="68">
        <f t="shared" si="334"/>
        <v>0</v>
      </c>
      <c r="Z300" s="345"/>
      <c r="AA300" s="347"/>
      <c r="AB300" s="345"/>
      <c r="AC300" s="345"/>
      <c r="AD300" s="345"/>
      <c r="AE300" s="68">
        <f t="shared" si="335"/>
        <v>0</v>
      </c>
      <c r="AF300" s="366">
        <v>2023</v>
      </c>
      <c r="AG300" s="358" t="s">
        <v>1090</v>
      </c>
      <c r="AH300" s="359">
        <v>19059.931307602394</v>
      </c>
      <c r="AI300" s="360"/>
      <c r="AJ300" s="360"/>
      <c r="AK300" s="360" t="str">
        <f t="shared" si="336"/>
        <v/>
      </c>
      <c r="AL300" s="18"/>
      <c r="AM300" s="360" t="str">
        <f t="shared" si="337"/>
        <v>2</v>
      </c>
      <c r="AN300" s="360" t="str">
        <f t="shared" si="338"/>
        <v>1</v>
      </c>
      <c r="AO300" s="360"/>
      <c r="AP300" s="346" t="str">
        <f t="shared" si="339"/>
        <v>2</v>
      </c>
      <c r="AQ300" s="360" t="str">
        <f t="shared" si="340"/>
        <v>2.1..2</v>
      </c>
      <c r="AR300" s="530"/>
      <c r="AS300" s="360"/>
      <c r="AT300" s="362"/>
      <c r="AU300" s="362"/>
      <c r="AV300" s="362"/>
      <c r="AW300" s="362"/>
      <c r="AX300" s="362"/>
      <c r="AY300" s="362"/>
      <c r="AZ300" s="362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</row>
    <row r="301" spans="1:68" ht="20.25" customHeight="1">
      <c r="A301" s="100">
        <v>52</v>
      </c>
      <c r="B301" s="100" t="s">
        <v>51</v>
      </c>
      <c r="C301" s="100" t="s">
        <v>2184</v>
      </c>
      <c r="D301" s="102" t="s">
        <v>589</v>
      </c>
      <c r="E301" s="100" t="str">
        <f t="shared" si="300"/>
        <v>Sama</v>
      </c>
      <c r="F301" s="63">
        <f t="shared" si="330"/>
        <v>279</v>
      </c>
      <c r="G301" s="63">
        <v>3</v>
      </c>
      <c r="H301" s="64" t="s">
        <v>51</v>
      </c>
      <c r="I301" s="62" t="s">
        <v>589</v>
      </c>
      <c r="J301" s="66">
        <v>1620.8858962842853</v>
      </c>
      <c r="K301" s="533" t="s">
        <v>104</v>
      </c>
      <c r="L301" s="68">
        <f t="shared" si="331"/>
        <v>845.18</v>
      </c>
      <c r="M301" s="63"/>
      <c r="N301" s="392" t="e">
        <f t="shared" si="332"/>
        <v>#VALUE!</v>
      </c>
      <c r="O301" s="382"/>
      <c r="P301" s="68"/>
      <c r="Q301" s="68"/>
      <c r="R301" s="68"/>
      <c r="S301" s="68">
        <f t="shared" si="333"/>
        <v>0</v>
      </c>
      <c r="T301" s="63"/>
      <c r="U301" s="347" t="s">
        <v>1546</v>
      </c>
      <c r="V301" s="370">
        <v>845.18</v>
      </c>
      <c r="W301" s="370">
        <v>0</v>
      </c>
      <c r="X301" s="370">
        <v>0</v>
      </c>
      <c r="Y301" s="68">
        <f t="shared" si="334"/>
        <v>845.18</v>
      </c>
      <c r="Z301" s="345"/>
      <c r="AA301" s="347"/>
      <c r="AB301" s="345"/>
      <c r="AC301" s="345"/>
      <c r="AD301" s="345"/>
      <c r="AE301" s="68">
        <f t="shared" si="335"/>
        <v>0</v>
      </c>
      <c r="AF301" s="366" t="s">
        <v>1097</v>
      </c>
      <c r="AG301" s="358"/>
      <c r="AH301" s="359">
        <v>1628.7127689742822</v>
      </c>
      <c r="AI301" s="360"/>
      <c r="AJ301" s="360"/>
      <c r="AK301" s="360" t="str">
        <f t="shared" si="336"/>
        <v/>
      </c>
      <c r="AL301" s="18"/>
      <c r="AM301" s="360" t="e">
        <f t="shared" si="337"/>
        <v>#VALUE!</v>
      </c>
      <c r="AN301" s="360" t="str">
        <f t="shared" si="338"/>
        <v>2</v>
      </c>
      <c r="AO301" s="360"/>
      <c r="AP301" s="346" t="str">
        <f t="shared" si="339"/>
        <v>1</v>
      </c>
      <c r="AQ301" s="360" t="e">
        <f t="shared" si="340"/>
        <v>#VALUE!</v>
      </c>
      <c r="AR301" s="530"/>
      <c r="AS301" s="360"/>
      <c r="AT301" s="362"/>
      <c r="AU301" s="362"/>
      <c r="AV301" s="362"/>
      <c r="AW301" s="362"/>
      <c r="AX301" s="362"/>
      <c r="AY301" s="362"/>
      <c r="AZ301" s="362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</row>
    <row r="302" spans="1:68" ht="20.25" customHeight="1">
      <c r="A302" s="100">
        <v>52</v>
      </c>
      <c r="B302" s="100" t="s">
        <v>51</v>
      </c>
      <c r="C302" s="100" t="s">
        <v>2185</v>
      </c>
      <c r="D302" s="102" t="s">
        <v>591</v>
      </c>
      <c r="E302" s="100" t="str">
        <f t="shared" si="300"/>
        <v>Sama</v>
      </c>
      <c r="F302" s="63">
        <f t="shared" si="330"/>
        <v>280</v>
      </c>
      <c r="G302" s="63">
        <v>4</v>
      </c>
      <c r="H302" s="64" t="s">
        <v>51</v>
      </c>
      <c r="I302" s="62" t="s">
        <v>591</v>
      </c>
      <c r="J302" s="66">
        <v>1564.2662942887334</v>
      </c>
      <c r="K302" s="533" t="s">
        <v>91</v>
      </c>
      <c r="L302" s="68">
        <f t="shared" si="331"/>
        <v>509.54</v>
      </c>
      <c r="M302" s="63" t="s">
        <v>1076</v>
      </c>
      <c r="N302" s="365">
        <f t="shared" si="332"/>
        <v>2019</v>
      </c>
      <c r="O302" s="347" t="s">
        <v>349</v>
      </c>
      <c r="P302" s="370">
        <v>510</v>
      </c>
      <c r="Q302" s="370">
        <v>0</v>
      </c>
      <c r="R302" s="370">
        <v>509.54</v>
      </c>
      <c r="S302" s="68">
        <f t="shared" si="333"/>
        <v>509.54</v>
      </c>
      <c r="T302" s="63"/>
      <c r="U302" s="347"/>
      <c r="V302" s="370"/>
      <c r="W302" s="370"/>
      <c r="X302" s="370"/>
      <c r="Y302" s="68">
        <f t="shared" si="334"/>
        <v>0</v>
      </c>
      <c r="Z302" s="345"/>
      <c r="AA302" s="347"/>
      <c r="AB302" s="345"/>
      <c r="AC302" s="345"/>
      <c r="AD302" s="345"/>
      <c r="AE302" s="68">
        <f t="shared" si="335"/>
        <v>0</v>
      </c>
      <c r="AF302" s="366">
        <v>2020</v>
      </c>
      <c r="AG302" s="358"/>
      <c r="AH302" s="359">
        <v>1414.392366929563</v>
      </c>
      <c r="AI302" s="360"/>
      <c r="AJ302" s="360"/>
      <c r="AK302" s="360" t="str">
        <f t="shared" si="336"/>
        <v>V</v>
      </c>
      <c r="AL302" s="18"/>
      <c r="AM302" s="360" t="str">
        <f t="shared" si="337"/>
        <v>1</v>
      </c>
      <c r="AN302" s="360" t="str">
        <f t="shared" si="338"/>
        <v>1</v>
      </c>
      <c r="AO302" s="360"/>
      <c r="AP302" s="346" t="str">
        <f t="shared" si="339"/>
        <v>2</v>
      </c>
      <c r="AQ302" s="360" t="str">
        <f t="shared" si="340"/>
        <v>1.1..2</v>
      </c>
      <c r="AR302" s="530"/>
      <c r="AS302" s="362" t="s">
        <v>349</v>
      </c>
      <c r="AT302" s="367">
        <v>1564</v>
      </c>
      <c r="AU302" s="362">
        <v>510</v>
      </c>
      <c r="AV302" s="368">
        <f>AU302/AT302</f>
        <v>0.32608695652173914</v>
      </c>
      <c r="AW302" s="362">
        <v>491</v>
      </c>
      <c r="AX302" s="368">
        <f>AW302/AT302</f>
        <v>0.31393861892583119</v>
      </c>
      <c r="AY302" s="367">
        <v>1074</v>
      </c>
      <c r="AZ302" s="368">
        <f>AY302/AT302</f>
        <v>0.6867007672634271</v>
      </c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</row>
    <row r="303" spans="1:68" ht="20.25" customHeight="1">
      <c r="A303" s="100">
        <v>52</v>
      </c>
      <c r="B303" s="100" t="s">
        <v>51</v>
      </c>
      <c r="C303" s="100" t="s">
        <v>2186</v>
      </c>
      <c r="D303" s="102" t="s">
        <v>592</v>
      </c>
      <c r="E303" s="100" t="str">
        <f t="shared" si="300"/>
        <v>Sama</v>
      </c>
      <c r="F303" s="63">
        <f t="shared" si="330"/>
        <v>281</v>
      </c>
      <c r="G303" s="63">
        <v>5</v>
      </c>
      <c r="H303" s="64" t="s">
        <v>51</v>
      </c>
      <c r="I303" s="62" t="s">
        <v>592</v>
      </c>
      <c r="J303" s="66">
        <v>15004.399421588989</v>
      </c>
      <c r="K303" s="533" t="s">
        <v>661</v>
      </c>
      <c r="L303" s="68">
        <f t="shared" si="331"/>
        <v>0</v>
      </c>
      <c r="M303" s="63"/>
      <c r="N303" s="365" t="e">
        <f t="shared" si="332"/>
        <v>#VALUE!</v>
      </c>
      <c r="O303" s="347"/>
      <c r="P303" s="370"/>
      <c r="Q303" s="370"/>
      <c r="R303" s="370"/>
      <c r="S303" s="68">
        <f t="shared" si="333"/>
        <v>0</v>
      </c>
      <c r="T303" s="63"/>
      <c r="U303" s="347"/>
      <c r="V303" s="370"/>
      <c r="W303" s="370"/>
      <c r="X303" s="370"/>
      <c r="Y303" s="68">
        <f t="shared" si="334"/>
        <v>0</v>
      </c>
      <c r="Z303" s="345"/>
      <c r="AA303" s="347"/>
      <c r="AB303" s="345"/>
      <c r="AC303" s="345"/>
      <c r="AD303" s="345"/>
      <c r="AE303" s="68">
        <f t="shared" si="335"/>
        <v>0</v>
      </c>
      <c r="AF303" s="366">
        <v>2023</v>
      </c>
      <c r="AG303" s="358" t="s">
        <v>1090</v>
      </c>
      <c r="AH303" s="359">
        <v>14637.615232438919</v>
      </c>
      <c r="AI303" s="360"/>
      <c r="AJ303" s="360"/>
      <c r="AK303" s="360" t="str">
        <f t="shared" si="336"/>
        <v/>
      </c>
      <c r="AL303" s="18"/>
      <c r="AM303" s="360" t="e">
        <f t="shared" si="337"/>
        <v>#VALUE!</v>
      </c>
      <c r="AN303" s="360" t="str">
        <f t="shared" si="338"/>
        <v>2</v>
      </c>
      <c r="AO303" s="360"/>
      <c r="AP303" s="346" t="str">
        <f t="shared" si="339"/>
        <v>2</v>
      </c>
      <c r="AQ303" s="360" t="e">
        <f t="shared" si="340"/>
        <v>#VALUE!</v>
      </c>
      <c r="AR303" s="530"/>
      <c r="AS303" s="360"/>
      <c r="AT303" s="362"/>
      <c r="AU303" s="362"/>
      <c r="AV303" s="362"/>
      <c r="AW303" s="362"/>
      <c r="AX303" s="362"/>
      <c r="AY303" s="362"/>
      <c r="AZ303" s="362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</row>
    <row r="304" spans="1:68" ht="20.25" customHeight="1">
      <c r="A304" s="100">
        <v>52</v>
      </c>
      <c r="B304" s="100" t="s">
        <v>51</v>
      </c>
      <c r="C304" s="100" t="s">
        <v>2187</v>
      </c>
      <c r="D304" s="102" t="s">
        <v>594</v>
      </c>
      <c r="E304" s="100" t="str">
        <f t="shared" si="300"/>
        <v>Sama</v>
      </c>
      <c r="F304" s="63">
        <f t="shared" si="330"/>
        <v>282</v>
      </c>
      <c r="G304" s="63">
        <v>6</v>
      </c>
      <c r="H304" s="64" t="s">
        <v>51</v>
      </c>
      <c r="I304" s="62" t="s">
        <v>594</v>
      </c>
      <c r="J304" s="66">
        <v>50281.807291596626</v>
      </c>
      <c r="K304" s="533" t="s">
        <v>91</v>
      </c>
      <c r="L304" s="68">
        <f t="shared" si="331"/>
        <v>37225.19</v>
      </c>
      <c r="M304" s="63"/>
      <c r="N304" s="365" t="e">
        <f t="shared" si="332"/>
        <v>#VALUE!</v>
      </c>
      <c r="O304" s="347"/>
      <c r="P304" s="370"/>
      <c r="Q304" s="370"/>
      <c r="R304" s="370"/>
      <c r="S304" s="68">
        <f t="shared" si="333"/>
        <v>0</v>
      </c>
      <c r="T304" s="63"/>
      <c r="U304" s="347"/>
      <c r="V304" s="370"/>
      <c r="W304" s="370"/>
      <c r="X304" s="370"/>
      <c r="Y304" s="68">
        <f t="shared" si="334"/>
        <v>0</v>
      </c>
      <c r="Z304" s="345" t="s">
        <v>1076</v>
      </c>
      <c r="AA304" s="536" t="s">
        <v>595</v>
      </c>
      <c r="AB304" s="373">
        <v>37225.19</v>
      </c>
      <c r="AC304" s="374">
        <v>6842.43</v>
      </c>
      <c r="AD304" s="345"/>
      <c r="AE304" s="68">
        <f t="shared" si="335"/>
        <v>37225.19</v>
      </c>
      <c r="AF304" s="364">
        <v>2022</v>
      </c>
      <c r="AG304" s="344"/>
      <c r="AH304" s="84">
        <v>49327.545929641034</v>
      </c>
      <c r="AI304" s="63"/>
      <c r="AJ304" s="63"/>
      <c r="AK304" s="63" t="str">
        <f t="shared" si="336"/>
        <v>V</v>
      </c>
      <c r="AL304" s="47"/>
      <c r="AM304" s="63" t="e">
        <f t="shared" si="337"/>
        <v>#VALUE!</v>
      </c>
      <c r="AN304" s="63" t="str">
        <f t="shared" si="338"/>
        <v>2</v>
      </c>
      <c r="AO304" s="63"/>
      <c r="AP304" s="346" t="str">
        <f t="shared" si="339"/>
        <v>1</v>
      </c>
      <c r="AQ304" s="63" t="e">
        <f t="shared" si="340"/>
        <v>#VALUE!</v>
      </c>
      <c r="AR304" s="534"/>
      <c r="AS304" s="64" t="s">
        <v>2188</v>
      </c>
      <c r="AT304" s="95">
        <v>50281.81</v>
      </c>
      <c r="AU304" s="95">
        <v>44067.62</v>
      </c>
      <c r="AV304" s="371">
        <f t="shared" ref="AV304:AV305" si="341">AU304/AT304</f>
        <v>0.87641276238862531</v>
      </c>
      <c r="AW304" s="95">
        <v>43273.47</v>
      </c>
      <c r="AX304" s="371">
        <f t="shared" ref="AX304:AX305" si="342">AW304/AT304</f>
        <v>0.86061878042974194</v>
      </c>
      <c r="AY304" s="95">
        <v>7008.34</v>
      </c>
      <c r="AZ304" s="371">
        <f t="shared" ref="AZ304:AZ305" si="343">AY304/AT304</f>
        <v>0.13938121957025812</v>
      </c>
      <c r="BA304" s="47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</row>
    <row r="305" spans="1:68" ht="20.25" customHeight="1">
      <c r="A305" s="100">
        <v>52</v>
      </c>
      <c r="B305" s="100" t="s">
        <v>51</v>
      </c>
      <c r="C305" s="100" t="s">
        <v>2189</v>
      </c>
      <c r="D305" s="102" t="s">
        <v>596</v>
      </c>
      <c r="E305" s="100" t="str">
        <f t="shared" si="300"/>
        <v>Sama</v>
      </c>
      <c r="F305" s="63">
        <f t="shared" si="330"/>
        <v>283</v>
      </c>
      <c r="G305" s="63">
        <v>7</v>
      </c>
      <c r="H305" s="64" t="s">
        <v>51</v>
      </c>
      <c r="I305" s="62" t="s">
        <v>596</v>
      </c>
      <c r="J305" s="66">
        <v>39388.978943097041</v>
      </c>
      <c r="K305" s="533" t="s">
        <v>91</v>
      </c>
      <c r="L305" s="68">
        <f t="shared" si="331"/>
        <v>41528.82</v>
      </c>
      <c r="M305" s="63"/>
      <c r="N305" s="365" t="e">
        <f t="shared" si="332"/>
        <v>#VALUE!</v>
      </c>
      <c r="O305" s="347"/>
      <c r="P305" s="370"/>
      <c r="Q305" s="370"/>
      <c r="R305" s="370"/>
      <c r="S305" s="68">
        <f t="shared" si="333"/>
        <v>0</v>
      </c>
      <c r="T305" s="63"/>
      <c r="U305" s="347"/>
      <c r="V305" s="370"/>
      <c r="W305" s="370"/>
      <c r="X305" s="370"/>
      <c r="Y305" s="68">
        <f t="shared" si="334"/>
        <v>0</v>
      </c>
      <c r="Z305" s="345" t="s">
        <v>1076</v>
      </c>
      <c r="AA305" s="531" t="s">
        <v>597</v>
      </c>
      <c r="AB305" s="345">
        <v>35436.21</v>
      </c>
      <c r="AC305" s="345">
        <v>6092.61</v>
      </c>
      <c r="AD305" s="345">
        <f>AB305+AC305</f>
        <v>41528.82</v>
      </c>
      <c r="AE305" s="68">
        <f t="shared" si="335"/>
        <v>41528.82</v>
      </c>
      <c r="AF305" s="364">
        <v>2022</v>
      </c>
      <c r="AG305" s="344"/>
      <c r="AH305" s="84">
        <v>39398.549510520126</v>
      </c>
      <c r="AI305" s="63"/>
      <c r="AJ305" s="63"/>
      <c r="AK305" s="63" t="str">
        <f t="shared" si="336"/>
        <v>V</v>
      </c>
      <c r="AL305" s="47"/>
      <c r="AM305" s="63" t="e">
        <f t="shared" si="337"/>
        <v>#VALUE!</v>
      </c>
      <c r="AN305" s="63" t="str">
        <f t="shared" si="338"/>
        <v>2</v>
      </c>
      <c r="AO305" s="63"/>
      <c r="AP305" s="346" t="str">
        <f t="shared" si="339"/>
        <v>1</v>
      </c>
      <c r="AQ305" s="63" t="e">
        <f t="shared" si="340"/>
        <v>#VALUE!</v>
      </c>
      <c r="AR305" s="534"/>
      <c r="AS305" s="64" t="s">
        <v>2190</v>
      </c>
      <c r="AT305" s="95">
        <v>39388.980000000003</v>
      </c>
      <c r="AU305" s="95">
        <v>41528.82</v>
      </c>
      <c r="AV305" s="371">
        <f t="shared" si="341"/>
        <v>1.0543258545918173</v>
      </c>
      <c r="AW305" s="95">
        <v>33721.01</v>
      </c>
      <c r="AX305" s="371">
        <f t="shared" si="342"/>
        <v>0.85610264596849173</v>
      </c>
      <c r="AY305" s="95">
        <v>5667.96</v>
      </c>
      <c r="AZ305" s="371">
        <f t="shared" si="343"/>
        <v>0.14389710015339316</v>
      </c>
      <c r="BA305" s="47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</row>
    <row r="306" spans="1:68" ht="20.25" customHeight="1">
      <c r="A306" s="100">
        <v>52</v>
      </c>
      <c r="B306" s="100" t="s">
        <v>51</v>
      </c>
      <c r="C306" s="100" t="s">
        <v>2191</v>
      </c>
      <c r="D306" s="102" t="s">
        <v>598</v>
      </c>
      <c r="E306" s="100" t="str">
        <f t="shared" si="300"/>
        <v>Sama</v>
      </c>
      <c r="F306" s="63">
        <f t="shared" si="330"/>
        <v>284</v>
      </c>
      <c r="G306" s="63">
        <v>8</v>
      </c>
      <c r="H306" s="64" t="s">
        <v>51</v>
      </c>
      <c r="I306" s="64" t="s">
        <v>598</v>
      </c>
      <c r="J306" s="84">
        <v>5117.3727613116989</v>
      </c>
      <c r="K306" s="533" t="s">
        <v>661</v>
      </c>
      <c r="L306" s="68">
        <f t="shared" si="331"/>
        <v>0</v>
      </c>
      <c r="M306" s="64"/>
      <c r="N306" s="365" t="e">
        <f t="shared" si="332"/>
        <v>#VALUE!</v>
      </c>
      <c r="O306" s="347"/>
      <c r="P306" s="370"/>
      <c r="Q306" s="370"/>
      <c r="R306" s="370"/>
      <c r="S306" s="68">
        <f t="shared" si="333"/>
        <v>0</v>
      </c>
      <c r="T306" s="64"/>
      <c r="U306" s="347"/>
      <c r="V306" s="370"/>
      <c r="W306" s="370"/>
      <c r="X306" s="370"/>
      <c r="Y306" s="68">
        <f t="shared" si="334"/>
        <v>0</v>
      </c>
      <c r="Z306" s="345"/>
      <c r="AA306" s="347"/>
      <c r="AB306" s="345"/>
      <c r="AC306" s="345"/>
      <c r="AD306" s="345"/>
      <c r="AE306" s="68">
        <f t="shared" si="335"/>
        <v>0</v>
      </c>
      <c r="AF306" s="366">
        <v>2023</v>
      </c>
      <c r="AG306" s="358" t="s">
        <v>1090</v>
      </c>
      <c r="AH306" s="359">
        <v>5129.1826136485233</v>
      </c>
      <c r="AI306" s="360"/>
      <c r="AJ306" s="360"/>
      <c r="AK306" s="360" t="str">
        <f t="shared" si="336"/>
        <v/>
      </c>
      <c r="AL306" s="18"/>
      <c r="AM306" s="360" t="e">
        <f t="shared" si="337"/>
        <v>#VALUE!</v>
      </c>
      <c r="AN306" s="360" t="str">
        <f t="shared" si="338"/>
        <v>2</v>
      </c>
      <c r="AO306" s="360"/>
      <c r="AP306" s="346" t="str">
        <f t="shared" si="339"/>
        <v>2</v>
      </c>
      <c r="AQ306" s="360" t="e">
        <f t="shared" si="340"/>
        <v>#VALUE!</v>
      </c>
      <c r="AR306" s="530"/>
      <c r="AS306" s="360"/>
      <c r="AT306" s="362"/>
      <c r="AU306" s="362"/>
      <c r="AV306" s="362"/>
      <c r="AW306" s="362"/>
      <c r="AX306" s="362"/>
      <c r="AY306" s="362"/>
      <c r="AZ306" s="362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</row>
    <row r="307" spans="1:68" ht="20.25" customHeight="1">
      <c r="A307" s="100">
        <v>52</v>
      </c>
      <c r="B307" s="100" t="s">
        <v>51</v>
      </c>
      <c r="C307" s="100" t="s">
        <v>2192</v>
      </c>
      <c r="D307" s="102" t="s">
        <v>600</v>
      </c>
      <c r="E307" s="100" t="str">
        <f t="shared" si="300"/>
        <v>Sama</v>
      </c>
      <c r="F307" s="63">
        <f t="shared" si="330"/>
        <v>285</v>
      </c>
      <c r="G307" s="63">
        <v>9</v>
      </c>
      <c r="H307" s="64" t="s">
        <v>51</v>
      </c>
      <c r="I307" s="64" t="s">
        <v>600</v>
      </c>
      <c r="J307" s="84">
        <v>54918.064678249575</v>
      </c>
      <c r="K307" s="533" t="s">
        <v>91</v>
      </c>
      <c r="L307" s="68">
        <f t="shared" si="331"/>
        <v>83973.2</v>
      </c>
      <c r="M307" s="64"/>
      <c r="N307" s="365" t="e">
        <f t="shared" si="332"/>
        <v>#VALUE!</v>
      </c>
      <c r="O307" s="347"/>
      <c r="P307" s="370"/>
      <c r="Q307" s="370"/>
      <c r="R307" s="370"/>
      <c r="S307" s="68">
        <f t="shared" si="333"/>
        <v>0</v>
      </c>
      <c r="T307" s="64"/>
      <c r="U307" s="347"/>
      <c r="V307" s="370"/>
      <c r="W307" s="370"/>
      <c r="X307" s="370"/>
      <c r="Y307" s="68">
        <f t="shared" si="334"/>
        <v>0</v>
      </c>
      <c r="Z307" s="345" t="s">
        <v>1076</v>
      </c>
      <c r="AA307" s="536" t="s">
        <v>601</v>
      </c>
      <c r="AB307" s="373">
        <v>83973.2</v>
      </c>
      <c r="AC307" s="374">
        <v>26189.200000000001</v>
      </c>
      <c r="AD307" s="345"/>
      <c r="AE307" s="68">
        <f t="shared" si="335"/>
        <v>83973.2</v>
      </c>
      <c r="AF307" s="364">
        <v>2022</v>
      </c>
      <c r="AG307" s="344"/>
      <c r="AH307" s="84">
        <v>54334.447607601454</v>
      </c>
      <c r="AI307" s="63"/>
      <c r="AJ307" s="63"/>
      <c r="AK307" s="63" t="str">
        <f t="shared" si="336"/>
        <v>V</v>
      </c>
      <c r="AL307" s="47"/>
      <c r="AM307" s="63" t="e">
        <f t="shared" si="337"/>
        <v>#VALUE!</v>
      </c>
      <c r="AN307" s="63" t="str">
        <f t="shared" si="338"/>
        <v>2</v>
      </c>
      <c r="AO307" s="63"/>
      <c r="AP307" s="346" t="str">
        <f t="shared" si="339"/>
        <v>1</v>
      </c>
      <c r="AQ307" s="63" t="e">
        <f t="shared" si="340"/>
        <v>#VALUE!</v>
      </c>
      <c r="AR307" s="534"/>
      <c r="AS307" s="64" t="s">
        <v>2193</v>
      </c>
      <c r="AT307" s="95">
        <v>54918.06</v>
      </c>
      <c r="AU307" s="95">
        <v>110162.4</v>
      </c>
      <c r="AV307" s="371">
        <f t="shared" ref="AV307:AV308" si="344">AU307/AT307</f>
        <v>2.0059412149664428</v>
      </c>
      <c r="AW307" s="95">
        <v>54623.360000000001</v>
      </c>
      <c r="AX307" s="371">
        <f t="shared" ref="AX307:AX308" si="345">AW307/AT307</f>
        <v>0.99463382355458296</v>
      </c>
      <c r="AY307" s="95">
        <v>294.70999999999998</v>
      </c>
      <c r="AZ307" s="371">
        <f t="shared" ref="AZ307:AZ308" si="346">AY307/AT307</f>
        <v>5.3663585348790541E-3</v>
      </c>
      <c r="BA307" s="47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</row>
    <row r="308" spans="1:68" ht="20.25" customHeight="1">
      <c r="A308" s="100">
        <v>52</v>
      </c>
      <c r="B308" s="100" t="s">
        <v>51</v>
      </c>
      <c r="C308" s="100" t="s">
        <v>2194</v>
      </c>
      <c r="D308" s="102" t="s">
        <v>602</v>
      </c>
      <c r="E308" s="100" t="str">
        <f t="shared" si="300"/>
        <v>Sama</v>
      </c>
      <c r="F308" s="63">
        <f t="shared" si="330"/>
        <v>286</v>
      </c>
      <c r="G308" s="63">
        <v>10</v>
      </c>
      <c r="H308" s="64" t="s">
        <v>51</v>
      </c>
      <c r="I308" s="62" t="s">
        <v>602</v>
      </c>
      <c r="J308" s="66">
        <v>8704.1668223644701</v>
      </c>
      <c r="K308" s="533" t="s">
        <v>91</v>
      </c>
      <c r="L308" s="68">
        <f t="shared" si="331"/>
        <v>13924</v>
      </c>
      <c r="M308" s="63" t="s">
        <v>1076</v>
      </c>
      <c r="N308" s="365">
        <f t="shared" si="332"/>
        <v>2020</v>
      </c>
      <c r="O308" s="347" t="s">
        <v>603</v>
      </c>
      <c r="P308" s="370">
        <v>0</v>
      </c>
      <c r="Q308" s="370">
        <v>0</v>
      </c>
      <c r="R308" s="370">
        <v>13924</v>
      </c>
      <c r="S308" s="68">
        <f t="shared" si="333"/>
        <v>13924</v>
      </c>
      <c r="T308" s="63"/>
      <c r="U308" s="347"/>
      <c r="V308" s="370"/>
      <c r="W308" s="370"/>
      <c r="X308" s="370"/>
      <c r="Y308" s="68">
        <f t="shared" si="334"/>
        <v>0</v>
      </c>
      <c r="Z308" s="345"/>
      <c r="AA308" s="347"/>
      <c r="AB308" s="345"/>
      <c r="AC308" s="345"/>
      <c r="AD308" s="345"/>
      <c r="AE308" s="68">
        <f t="shared" si="335"/>
        <v>0</v>
      </c>
      <c r="AF308" s="366">
        <v>2020</v>
      </c>
      <c r="AG308" s="358"/>
      <c r="AH308" s="359">
        <v>9102.1688929841348</v>
      </c>
      <c r="AI308" s="360"/>
      <c r="AJ308" s="360"/>
      <c r="AK308" s="360" t="str">
        <f t="shared" si="336"/>
        <v>V</v>
      </c>
      <c r="AL308" s="18"/>
      <c r="AM308" s="360" t="str">
        <f t="shared" si="337"/>
        <v>1</v>
      </c>
      <c r="AN308" s="360" t="str">
        <f t="shared" si="338"/>
        <v>1</v>
      </c>
      <c r="AO308" s="360"/>
      <c r="AP308" s="346" t="str">
        <f t="shared" si="339"/>
        <v>2</v>
      </c>
      <c r="AQ308" s="360" t="str">
        <f t="shared" si="340"/>
        <v>1.1..2</v>
      </c>
      <c r="AR308" s="530"/>
      <c r="AS308" s="362" t="s">
        <v>145</v>
      </c>
      <c r="AT308" s="367">
        <v>8704</v>
      </c>
      <c r="AU308" s="367">
        <v>13935</v>
      </c>
      <c r="AV308" s="368">
        <f t="shared" si="344"/>
        <v>1.6009880514705883</v>
      </c>
      <c r="AW308" s="367">
        <v>7688</v>
      </c>
      <c r="AX308" s="368">
        <f t="shared" si="345"/>
        <v>0.88327205882352944</v>
      </c>
      <c r="AY308" s="367">
        <v>1016</v>
      </c>
      <c r="AZ308" s="368">
        <f t="shared" si="346"/>
        <v>0.11672794117647059</v>
      </c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</row>
    <row r="309" spans="1:68" ht="20.25" customHeight="1">
      <c r="A309" s="100">
        <v>53</v>
      </c>
      <c r="B309" s="100" t="s">
        <v>52</v>
      </c>
      <c r="C309" s="100">
        <v>53</v>
      </c>
      <c r="D309" s="102" t="s">
        <v>2195</v>
      </c>
      <c r="E309" s="100" t="str">
        <f t="shared" si="300"/>
        <v>Sama</v>
      </c>
      <c r="F309" s="63"/>
      <c r="G309" s="341"/>
      <c r="H309" s="379"/>
      <c r="I309" s="379" t="s">
        <v>2195</v>
      </c>
      <c r="J309" s="380"/>
      <c r="K309" s="353">
        <f>COUNTIF(K310:K331,"D") + COUNTIF(K310:K331,"DS")</f>
        <v>15</v>
      </c>
      <c r="L309" s="383">
        <f>SUBTOTAL(9,L310:L331)</f>
        <v>458808.04</v>
      </c>
      <c r="M309" s="342"/>
      <c r="N309" s="355"/>
      <c r="O309" s="356"/>
      <c r="P309" s="383">
        <f t="shared" ref="P309:Y309" si="347">SUBTOTAL(9,P310:P330)</f>
        <v>57780</v>
      </c>
      <c r="Q309" s="383">
        <f t="shared" si="347"/>
        <v>0</v>
      </c>
      <c r="R309" s="383">
        <f t="shared" si="347"/>
        <v>86564</v>
      </c>
      <c r="S309" s="383">
        <f t="shared" si="347"/>
        <v>86564</v>
      </c>
      <c r="T309" s="383">
        <f t="shared" si="347"/>
        <v>0</v>
      </c>
      <c r="U309" s="406">
        <f t="shared" si="347"/>
        <v>0</v>
      </c>
      <c r="V309" s="383">
        <f t="shared" si="347"/>
        <v>312390.10000000003</v>
      </c>
      <c r="W309" s="383">
        <f t="shared" si="347"/>
        <v>27992.59</v>
      </c>
      <c r="X309" s="383">
        <f t="shared" si="347"/>
        <v>37756.800000000003</v>
      </c>
      <c r="Y309" s="383">
        <f t="shared" si="347"/>
        <v>312390.10000000003</v>
      </c>
      <c r="Z309" s="383">
        <v>4</v>
      </c>
      <c r="AA309" s="406">
        <v>4</v>
      </c>
      <c r="AB309" s="383">
        <f t="shared" ref="AB309:AE309" si="348">SUBTOTAL(9,AB310:AB330)</f>
        <v>95228.5</v>
      </c>
      <c r="AC309" s="383">
        <f t="shared" si="348"/>
        <v>26649.940000000002</v>
      </c>
      <c r="AD309" s="383">
        <f t="shared" si="348"/>
        <v>86630.34</v>
      </c>
      <c r="AE309" s="383">
        <f t="shared" si="348"/>
        <v>119833.77999999998</v>
      </c>
      <c r="AF309" s="357" t="s">
        <v>1138</v>
      </c>
      <c r="AG309" s="358"/>
      <c r="AH309" s="359"/>
      <c r="AI309" s="360"/>
      <c r="AJ309" s="360"/>
      <c r="AK309" s="361">
        <f>COUNTIF(AK310:AK331,"V") + COUNTIF(AK310:AK331,"VV") + COUNTIF(AK310:AK331,"VVV")</f>
        <v>12</v>
      </c>
      <c r="AL309" s="18"/>
      <c r="AM309" s="360"/>
      <c r="AN309" s="360"/>
      <c r="AO309" s="360"/>
      <c r="AP309" s="346"/>
      <c r="AQ309" s="360"/>
      <c r="AR309" s="530"/>
      <c r="AS309" s="360"/>
      <c r="AT309" s="362"/>
      <c r="AU309" s="362"/>
      <c r="AV309" s="362"/>
      <c r="AW309" s="362"/>
      <c r="AX309" s="362"/>
      <c r="AY309" s="362"/>
      <c r="AZ309" s="362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</row>
    <row r="310" spans="1:68" ht="20.25" customHeight="1">
      <c r="A310" s="100">
        <v>53</v>
      </c>
      <c r="B310" s="100" t="s">
        <v>52</v>
      </c>
      <c r="C310" s="100" t="s">
        <v>2196</v>
      </c>
      <c r="D310" s="102" t="s">
        <v>604</v>
      </c>
      <c r="E310" s="100" t="str">
        <f t="shared" si="300"/>
        <v>Sama</v>
      </c>
      <c r="F310" s="63">
        <f t="shared" ref="F310:F331" si="349">SUBTOTAL(3,$G$7:G310)</f>
        <v>287</v>
      </c>
      <c r="G310" s="63">
        <v>1</v>
      </c>
      <c r="H310" s="62" t="s">
        <v>52</v>
      </c>
      <c r="I310" s="62" t="s">
        <v>604</v>
      </c>
      <c r="J310" s="66">
        <v>557.55256569003154</v>
      </c>
      <c r="K310" s="533" t="s">
        <v>91</v>
      </c>
      <c r="L310" s="68">
        <f>Y310</f>
        <v>230640</v>
      </c>
      <c r="M310" s="63"/>
      <c r="N310" s="392">
        <f t="shared" ref="N310:N331" si="350">VALUE(RIGHT(O310,4))</f>
        <v>2013</v>
      </c>
      <c r="O310" s="382" t="s">
        <v>167</v>
      </c>
      <c r="P310" s="68">
        <v>9435</v>
      </c>
      <c r="Q310" s="68">
        <v>0</v>
      </c>
      <c r="R310" s="68">
        <v>9435</v>
      </c>
      <c r="S310" s="68">
        <f t="shared" ref="S310:S331" si="351">IF(R310&gt;0,R310,IF(P310&gt;0,P310,0))</f>
        <v>9435</v>
      </c>
      <c r="T310" s="63" t="s">
        <v>1076</v>
      </c>
      <c r="U310" s="385" t="s">
        <v>605</v>
      </c>
      <c r="V310" s="370">
        <v>230640</v>
      </c>
      <c r="W310" s="370">
        <v>0</v>
      </c>
      <c r="X310" s="370">
        <v>0</v>
      </c>
      <c r="Y310" s="68">
        <f t="shared" ref="Y310:Y331" si="352">IF(X310&gt;0,X310,IF(V310&gt;0,V310,0))</f>
        <v>230640</v>
      </c>
      <c r="Z310" s="345"/>
      <c r="AA310" s="385"/>
      <c r="AB310" s="345"/>
      <c r="AC310" s="345"/>
      <c r="AD310" s="345"/>
      <c r="AE310" s="68">
        <f t="shared" ref="AE310:AE331" si="353">IF(AD310&gt;0,AD310,IF(AB310&gt;0,AB310,0))</f>
        <v>0</v>
      </c>
      <c r="AF310" s="366">
        <v>2020</v>
      </c>
      <c r="AG310" s="358"/>
      <c r="AH310" s="359"/>
      <c r="AI310" s="360"/>
      <c r="AJ310" s="360"/>
      <c r="AK310" s="360" t="str">
        <f t="shared" ref="AK310:AK331" si="354">CONCATENATE(M310,T310,Z310)</f>
        <v>V</v>
      </c>
      <c r="AL310" s="18"/>
      <c r="AM310" s="360" t="str">
        <f t="shared" ref="AM310:AM331" si="355">IF(N310=0,"3",IF(N310&lt;=2018,"2","1"))</f>
        <v>2</v>
      </c>
      <c r="AN310" s="360" t="str">
        <f t="shared" ref="AN310:AN331" si="356">IF(S310&gt;0,"1","2")</f>
        <v>1</v>
      </c>
      <c r="AO310" s="360"/>
      <c r="AP310" s="346" t="str">
        <f t="shared" ref="AP310:AP331" si="357">IF(Y310&gt;0,"1",IF(AE310&gt;0,"1","2"))</f>
        <v>1</v>
      </c>
      <c r="AQ310" s="360" t="str">
        <f t="shared" ref="AQ310:AQ331" si="358">CONCATENATE(AM310,".",AN310,".",AO310,".",AP310)</f>
        <v>2.1..1</v>
      </c>
      <c r="AR310" s="530"/>
      <c r="AS310" s="362" t="s">
        <v>2197</v>
      </c>
      <c r="AT310" s="362">
        <v>678</v>
      </c>
      <c r="AU310" s="367">
        <v>20372</v>
      </c>
      <c r="AV310" s="368">
        <f t="shared" ref="AV310:AV313" si="359">AU310/AT310</f>
        <v>30.047197640117993</v>
      </c>
      <c r="AW310" s="362">
        <v>522</v>
      </c>
      <c r="AX310" s="368">
        <f t="shared" ref="AX310:AX313" si="360">AW310/AT310</f>
        <v>0.76991150442477874</v>
      </c>
      <c r="AY310" s="362">
        <v>155</v>
      </c>
      <c r="AZ310" s="368">
        <f t="shared" ref="AZ310:AZ313" si="361">AY310/AT310</f>
        <v>0.22861356932153393</v>
      </c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</row>
    <row r="311" spans="1:68" ht="20.25" customHeight="1">
      <c r="A311" s="100">
        <v>53</v>
      </c>
      <c r="B311" s="100" t="s">
        <v>52</v>
      </c>
      <c r="C311" s="100" t="s">
        <v>2198</v>
      </c>
      <c r="D311" s="102" t="s">
        <v>606</v>
      </c>
      <c r="E311" s="100" t="str">
        <f t="shared" si="300"/>
        <v>Sama</v>
      </c>
      <c r="F311" s="63">
        <f t="shared" si="349"/>
        <v>288</v>
      </c>
      <c r="G311" s="63">
        <v>2</v>
      </c>
      <c r="H311" s="62" t="s">
        <v>52</v>
      </c>
      <c r="I311" s="62" t="s">
        <v>606</v>
      </c>
      <c r="J311" s="66">
        <v>5505.1090567668698</v>
      </c>
      <c r="K311" s="533" t="s">
        <v>91</v>
      </c>
      <c r="L311" s="68">
        <f t="shared" ref="L311:L317" si="362">IF(S311&gt;0,S311,IF(Y311&gt;0,Y311,IF(AE311&gt;0,AE311,0)))</f>
        <v>3849</v>
      </c>
      <c r="M311" s="63" t="s">
        <v>1076</v>
      </c>
      <c r="N311" s="365">
        <f t="shared" si="350"/>
        <v>2020</v>
      </c>
      <c r="O311" s="347" t="s">
        <v>262</v>
      </c>
      <c r="P311" s="370">
        <v>0</v>
      </c>
      <c r="Q311" s="370">
        <v>0</v>
      </c>
      <c r="R311" s="370">
        <v>3849</v>
      </c>
      <c r="S311" s="68">
        <f t="shared" si="351"/>
        <v>3849</v>
      </c>
      <c r="T311" s="63"/>
      <c r="U311" s="347"/>
      <c r="V311" s="370"/>
      <c r="W311" s="370"/>
      <c r="X311" s="370"/>
      <c r="Y311" s="68">
        <f t="shared" si="352"/>
        <v>0</v>
      </c>
      <c r="Z311" s="345"/>
      <c r="AA311" s="347"/>
      <c r="AB311" s="345"/>
      <c r="AC311" s="345"/>
      <c r="AD311" s="345"/>
      <c r="AE311" s="68">
        <f t="shared" si="353"/>
        <v>0</v>
      </c>
      <c r="AF311" s="366">
        <v>2020</v>
      </c>
      <c r="AG311" s="358"/>
      <c r="AH311" s="359"/>
      <c r="AI311" s="360"/>
      <c r="AJ311" s="360"/>
      <c r="AK311" s="360" t="str">
        <f t="shared" si="354"/>
        <v>V</v>
      </c>
      <c r="AL311" s="18"/>
      <c r="AM311" s="360" t="str">
        <f t="shared" si="355"/>
        <v>1</v>
      </c>
      <c r="AN311" s="360" t="str">
        <f t="shared" si="356"/>
        <v>1</v>
      </c>
      <c r="AO311" s="360"/>
      <c r="AP311" s="346" t="str">
        <f t="shared" si="357"/>
        <v>2</v>
      </c>
      <c r="AQ311" s="360" t="str">
        <f t="shared" si="358"/>
        <v>1.1..2</v>
      </c>
      <c r="AR311" s="530"/>
      <c r="AS311" s="362" t="s">
        <v>262</v>
      </c>
      <c r="AT311" s="367">
        <v>5505</v>
      </c>
      <c r="AU311" s="367">
        <v>3848</v>
      </c>
      <c r="AV311" s="368">
        <f t="shared" si="359"/>
        <v>0.69900090826521344</v>
      </c>
      <c r="AW311" s="367">
        <v>3096</v>
      </c>
      <c r="AX311" s="368">
        <f t="shared" si="360"/>
        <v>0.56239782016348772</v>
      </c>
      <c r="AY311" s="367">
        <v>2904</v>
      </c>
      <c r="AZ311" s="368">
        <f t="shared" si="361"/>
        <v>0.52752043596730247</v>
      </c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</row>
    <row r="312" spans="1:68" ht="20.25" customHeight="1">
      <c r="A312" s="100">
        <v>53</v>
      </c>
      <c r="B312" s="100" t="s">
        <v>52</v>
      </c>
      <c r="C312" s="100" t="s">
        <v>2199</v>
      </c>
      <c r="D312" s="102" t="s">
        <v>607</v>
      </c>
      <c r="E312" s="100" t="str">
        <f t="shared" si="300"/>
        <v>Sama</v>
      </c>
      <c r="F312" s="63">
        <f t="shared" si="349"/>
        <v>289</v>
      </c>
      <c r="G312" s="63">
        <v>3</v>
      </c>
      <c r="H312" s="62" t="s">
        <v>52</v>
      </c>
      <c r="I312" s="62" t="s">
        <v>607</v>
      </c>
      <c r="J312" s="66">
        <v>4257.7466925032104</v>
      </c>
      <c r="K312" s="533" t="s">
        <v>91</v>
      </c>
      <c r="L312" s="68">
        <f t="shared" si="362"/>
        <v>4265.1899999999996</v>
      </c>
      <c r="M312" s="63"/>
      <c r="N312" s="392" t="e">
        <f t="shared" si="350"/>
        <v>#VALUE!</v>
      </c>
      <c r="O312" s="382"/>
      <c r="P312" s="68"/>
      <c r="Q312" s="68"/>
      <c r="R312" s="68"/>
      <c r="S312" s="68">
        <f t="shared" si="351"/>
        <v>0</v>
      </c>
      <c r="T312" s="63" t="s">
        <v>1076</v>
      </c>
      <c r="U312" s="347" t="s">
        <v>608</v>
      </c>
      <c r="V312" s="370">
        <v>4265.1899999999996</v>
      </c>
      <c r="W312" s="370">
        <v>0</v>
      </c>
      <c r="X312" s="370">
        <v>0</v>
      </c>
      <c r="Y312" s="68">
        <f t="shared" si="352"/>
        <v>4265.1899999999996</v>
      </c>
      <c r="Z312" s="345"/>
      <c r="AA312" s="347"/>
      <c r="AB312" s="345"/>
      <c r="AC312" s="345"/>
      <c r="AD312" s="345"/>
      <c r="AE312" s="68">
        <f t="shared" si="353"/>
        <v>0</v>
      </c>
      <c r="AF312" s="366">
        <v>2020</v>
      </c>
      <c r="AG312" s="358"/>
      <c r="AH312" s="359"/>
      <c r="AI312" s="360"/>
      <c r="AJ312" s="360"/>
      <c r="AK312" s="360" t="str">
        <f t="shared" si="354"/>
        <v>V</v>
      </c>
      <c r="AL312" s="18"/>
      <c r="AM312" s="360" t="e">
        <f t="shared" si="355"/>
        <v>#VALUE!</v>
      </c>
      <c r="AN312" s="360" t="str">
        <f t="shared" si="356"/>
        <v>2</v>
      </c>
      <c r="AO312" s="360"/>
      <c r="AP312" s="346" t="str">
        <f t="shared" si="357"/>
        <v>1</v>
      </c>
      <c r="AQ312" s="360" t="e">
        <f t="shared" si="358"/>
        <v>#VALUE!</v>
      </c>
      <c r="AR312" s="530"/>
      <c r="AS312" s="362" t="s">
        <v>218</v>
      </c>
      <c r="AT312" s="367">
        <v>4265</v>
      </c>
      <c r="AU312" s="367">
        <v>25334</v>
      </c>
      <c r="AV312" s="368">
        <f t="shared" si="359"/>
        <v>5.9399765533411486</v>
      </c>
      <c r="AW312" s="367">
        <v>4265</v>
      </c>
      <c r="AX312" s="368">
        <f t="shared" si="360"/>
        <v>1</v>
      </c>
      <c r="AY312" s="362" t="s">
        <v>1032</v>
      </c>
      <c r="AZ312" s="368" t="e">
        <f t="shared" si="361"/>
        <v>#VALUE!</v>
      </c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</row>
    <row r="313" spans="1:68" ht="20.25" customHeight="1">
      <c r="A313" s="100">
        <v>53</v>
      </c>
      <c r="B313" s="100" t="s">
        <v>52</v>
      </c>
      <c r="C313" s="100" t="s">
        <v>2200</v>
      </c>
      <c r="D313" s="102" t="s">
        <v>609</v>
      </c>
      <c r="E313" s="100" t="str">
        <f t="shared" si="300"/>
        <v>Sama</v>
      </c>
      <c r="F313" s="63">
        <f t="shared" si="349"/>
        <v>290</v>
      </c>
      <c r="G313" s="63">
        <v>4</v>
      </c>
      <c r="H313" s="62" t="s">
        <v>52</v>
      </c>
      <c r="I313" s="62" t="s">
        <v>609</v>
      </c>
      <c r="J313" s="66">
        <v>567.24534491888608</v>
      </c>
      <c r="K313" s="533" t="s">
        <v>91</v>
      </c>
      <c r="L313" s="68">
        <f t="shared" si="362"/>
        <v>10575.73</v>
      </c>
      <c r="M313" s="63"/>
      <c r="N313" s="392" t="e">
        <f t="shared" si="350"/>
        <v>#VALUE!</v>
      </c>
      <c r="O313" s="382"/>
      <c r="P313" s="68"/>
      <c r="Q313" s="68"/>
      <c r="R313" s="68"/>
      <c r="S313" s="68">
        <f t="shared" si="351"/>
        <v>0</v>
      </c>
      <c r="T313" s="63" t="s">
        <v>1076</v>
      </c>
      <c r="U313" s="347" t="s">
        <v>610</v>
      </c>
      <c r="V313" s="370">
        <v>10575.73</v>
      </c>
      <c r="W313" s="370">
        <v>0</v>
      </c>
      <c r="X313" s="370">
        <v>0</v>
      </c>
      <c r="Y313" s="68">
        <f t="shared" si="352"/>
        <v>10575.73</v>
      </c>
      <c r="Z313" s="345"/>
      <c r="AA313" s="347"/>
      <c r="AB313" s="345"/>
      <c r="AC313" s="345"/>
      <c r="AD313" s="345"/>
      <c r="AE313" s="68">
        <f t="shared" si="353"/>
        <v>0</v>
      </c>
      <c r="AF313" s="366">
        <v>2020</v>
      </c>
      <c r="AG313" s="358"/>
      <c r="AH313" s="359"/>
      <c r="AI313" s="360"/>
      <c r="AJ313" s="360"/>
      <c r="AK313" s="360" t="str">
        <f t="shared" si="354"/>
        <v>V</v>
      </c>
      <c r="AL313" s="18"/>
      <c r="AM313" s="360" t="e">
        <f t="shared" si="355"/>
        <v>#VALUE!</v>
      </c>
      <c r="AN313" s="360" t="str">
        <f t="shared" si="356"/>
        <v>2</v>
      </c>
      <c r="AO313" s="360"/>
      <c r="AP313" s="346" t="str">
        <f t="shared" si="357"/>
        <v>1</v>
      </c>
      <c r="AQ313" s="360" t="e">
        <f t="shared" si="358"/>
        <v>#VALUE!</v>
      </c>
      <c r="AR313" s="530"/>
      <c r="AS313" s="362" t="s">
        <v>2201</v>
      </c>
      <c r="AT313" s="362">
        <v>423</v>
      </c>
      <c r="AU313" s="367">
        <v>10732</v>
      </c>
      <c r="AV313" s="368">
        <f t="shared" si="359"/>
        <v>25.371158392434989</v>
      </c>
      <c r="AW313" s="362">
        <v>423</v>
      </c>
      <c r="AX313" s="368">
        <f t="shared" si="360"/>
        <v>1</v>
      </c>
      <c r="AY313" s="362" t="s">
        <v>1032</v>
      </c>
      <c r="AZ313" s="368" t="e">
        <f t="shared" si="361"/>
        <v>#VALUE!</v>
      </c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</row>
    <row r="314" spans="1:68" ht="20.25" customHeight="1">
      <c r="A314" s="100">
        <v>53</v>
      </c>
      <c r="B314" s="100" t="s">
        <v>52</v>
      </c>
      <c r="C314" s="100" t="s">
        <v>2202</v>
      </c>
      <c r="D314" s="102" t="s">
        <v>611</v>
      </c>
      <c r="E314" s="100" t="str">
        <f t="shared" si="300"/>
        <v>Sama</v>
      </c>
      <c r="F314" s="63">
        <f t="shared" si="349"/>
        <v>291</v>
      </c>
      <c r="G314" s="63">
        <v>6</v>
      </c>
      <c r="H314" s="62" t="s">
        <v>52</v>
      </c>
      <c r="I314" s="62" t="s">
        <v>611</v>
      </c>
      <c r="J314" s="66">
        <v>487.39773179582659</v>
      </c>
      <c r="K314" s="533" t="s">
        <v>661</v>
      </c>
      <c r="L314" s="68">
        <f t="shared" si="362"/>
        <v>0</v>
      </c>
      <c r="M314" s="63"/>
      <c r="N314" s="392" t="e">
        <f t="shared" si="350"/>
        <v>#VALUE!</v>
      </c>
      <c r="O314" s="382"/>
      <c r="P314" s="68"/>
      <c r="Q314" s="68"/>
      <c r="R314" s="68"/>
      <c r="S314" s="68">
        <f t="shared" si="351"/>
        <v>0</v>
      </c>
      <c r="T314" s="63"/>
      <c r="U314" s="347"/>
      <c r="V314" s="370"/>
      <c r="W314" s="370"/>
      <c r="X314" s="370"/>
      <c r="Y314" s="68">
        <f t="shared" si="352"/>
        <v>0</v>
      </c>
      <c r="Z314" s="345"/>
      <c r="AA314" s="347"/>
      <c r="AB314" s="345"/>
      <c r="AC314" s="345"/>
      <c r="AD314" s="345"/>
      <c r="AE314" s="68">
        <f t="shared" si="353"/>
        <v>0</v>
      </c>
      <c r="AF314" s="366" t="s">
        <v>1097</v>
      </c>
      <c r="AG314" s="358"/>
      <c r="AH314" s="359"/>
      <c r="AI314" s="360"/>
      <c r="AJ314" s="360"/>
      <c r="AK314" s="360" t="str">
        <f t="shared" si="354"/>
        <v/>
      </c>
      <c r="AL314" s="18"/>
      <c r="AM314" s="360" t="e">
        <f t="shared" si="355"/>
        <v>#VALUE!</v>
      </c>
      <c r="AN314" s="360" t="str">
        <f t="shared" si="356"/>
        <v>2</v>
      </c>
      <c r="AO314" s="360"/>
      <c r="AP314" s="346" t="str">
        <f t="shared" si="357"/>
        <v>2</v>
      </c>
      <c r="AQ314" s="360" t="e">
        <f t="shared" si="358"/>
        <v>#VALUE!</v>
      </c>
      <c r="AR314" s="530"/>
      <c r="AS314" s="360"/>
      <c r="AT314" s="362"/>
      <c r="AU314" s="362"/>
      <c r="AV314" s="362"/>
      <c r="AW314" s="362"/>
      <c r="AX314" s="362"/>
      <c r="AY314" s="362"/>
      <c r="AZ314" s="362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</row>
    <row r="315" spans="1:68" ht="20.25" customHeight="1">
      <c r="A315" s="100">
        <v>53</v>
      </c>
      <c r="B315" s="100" t="s">
        <v>52</v>
      </c>
      <c r="C315" s="100" t="s">
        <v>2203</v>
      </c>
      <c r="D315" s="102" t="s">
        <v>613</v>
      </c>
      <c r="E315" s="100" t="str">
        <f t="shared" si="300"/>
        <v>Beda</v>
      </c>
      <c r="F315" s="63">
        <f t="shared" si="349"/>
        <v>292</v>
      </c>
      <c r="G315" s="63">
        <v>5</v>
      </c>
      <c r="H315" s="62" t="s">
        <v>52</v>
      </c>
      <c r="I315" s="62" t="s">
        <v>2204</v>
      </c>
      <c r="J315" s="66">
        <v>15236.646580694654</v>
      </c>
      <c r="K315" s="533" t="s">
        <v>661</v>
      </c>
      <c r="L315" s="68">
        <f t="shared" si="362"/>
        <v>0</v>
      </c>
      <c r="M315" s="63"/>
      <c r="N315" s="392" t="e">
        <f t="shared" si="350"/>
        <v>#VALUE!</v>
      </c>
      <c r="O315" s="382"/>
      <c r="P315" s="68"/>
      <c r="Q315" s="68"/>
      <c r="R315" s="68"/>
      <c r="S315" s="68">
        <f t="shared" si="351"/>
        <v>0</v>
      </c>
      <c r="T315" s="63"/>
      <c r="U315" s="347"/>
      <c r="V315" s="370"/>
      <c r="W315" s="370"/>
      <c r="X315" s="370"/>
      <c r="Y315" s="68">
        <f t="shared" si="352"/>
        <v>0</v>
      </c>
      <c r="Z315" s="345"/>
      <c r="AA315" s="347"/>
      <c r="AB315" s="345"/>
      <c r="AC315" s="345"/>
      <c r="AD315" s="345"/>
      <c r="AE315" s="68">
        <f t="shared" si="353"/>
        <v>0</v>
      </c>
      <c r="AF315" s="366" t="s">
        <v>1464</v>
      </c>
      <c r="AG315" s="358"/>
      <c r="AH315" s="359"/>
      <c r="AI315" s="360"/>
      <c r="AJ315" s="360"/>
      <c r="AK315" s="360" t="str">
        <f t="shared" si="354"/>
        <v/>
      </c>
      <c r="AL315" s="18"/>
      <c r="AM315" s="360" t="e">
        <f t="shared" si="355"/>
        <v>#VALUE!</v>
      </c>
      <c r="AN315" s="360" t="str">
        <f t="shared" si="356"/>
        <v>2</v>
      </c>
      <c r="AO315" s="360"/>
      <c r="AP315" s="346" t="str">
        <f t="shared" si="357"/>
        <v>2</v>
      </c>
      <c r="AQ315" s="360" t="e">
        <f t="shared" si="358"/>
        <v>#VALUE!</v>
      </c>
      <c r="AR315" s="530"/>
      <c r="AS315" s="360"/>
      <c r="AT315" s="362"/>
      <c r="AU315" s="362"/>
      <c r="AV315" s="362"/>
      <c r="AW315" s="362"/>
      <c r="AX315" s="362"/>
      <c r="AY315" s="362"/>
      <c r="AZ315" s="362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</row>
    <row r="316" spans="1:68" ht="20.25" customHeight="1">
      <c r="A316" s="100">
        <v>53</v>
      </c>
      <c r="B316" s="100" t="s">
        <v>52</v>
      </c>
      <c r="C316" s="100" t="s">
        <v>2205</v>
      </c>
      <c r="D316" s="102" t="s">
        <v>615</v>
      </c>
      <c r="E316" s="100" t="str">
        <f t="shared" si="300"/>
        <v>Sama</v>
      </c>
      <c r="F316" s="63">
        <f t="shared" si="349"/>
        <v>293</v>
      </c>
      <c r="G316" s="63">
        <v>7</v>
      </c>
      <c r="H316" s="62" t="s">
        <v>52</v>
      </c>
      <c r="I316" s="62" t="s">
        <v>615</v>
      </c>
      <c r="J316" s="66">
        <v>81.986673597423604</v>
      </c>
      <c r="K316" s="533" t="s">
        <v>661</v>
      </c>
      <c r="L316" s="68">
        <f t="shared" si="362"/>
        <v>0</v>
      </c>
      <c r="M316" s="63"/>
      <c r="N316" s="392" t="e">
        <f t="shared" si="350"/>
        <v>#VALUE!</v>
      </c>
      <c r="O316" s="382"/>
      <c r="P316" s="68"/>
      <c r="Q316" s="68"/>
      <c r="R316" s="68"/>
      <c r="S316" s="68">
        <f t="shared" si="351"/>
        <v>0</v>
      </c>
      <c r="T316" s="63"/>
      <c r="U316" s="347"/>
      <c r="V316" s="370"/>
      <c r="W316" s="370"/>
      <c r="X316" s="370"/>
      <c r="Y316" s="68">
        <f t="shared" si="352"/>
        <v>0</v>
      </c>
      <c r="Z316" s="345"/>
      <c r="AA316" s="347"/>
      <c r="AB316" s="345"/>
      <c r="AC316" s="345"/>
      <c r="AD316" s="345"/>
      <c r="AE316" s="68">
        <f t="shared" si="353"/>
        <v>0</v>
      </c>
      <c r="AF316" s="366" t="s">
        <v>1097</v>
      </c>
      <c r="AG316" s="358"/>
      <c r="AH316" s="359"/>
      <c r="AI316" s="360"/>
      <c r="AJ316" s="360"/>
      <c r="AK316" s="360" t="str">
        <f t="shared" si="354"/>
        <v/>
      </c>
      <c r="AL316" s="18"/>
      <c r="AM316" s="360" t="e">
        <f t="shared" si="355"/>
        <v>#VALUE!</v>
      </c>
      <c r="AN316" s="360" t="str">
        <f t="shared" si="356"/>
        <v>2</v>
      </c>
      <c r="AO316" s="360"/>
      <c r="AP316" s="346" t="str">
        <f t="shared" si="357"/>
        <v>2</v>
      </c>
      <c r="AQ316" s="360" t="e">
        <f t="shared" si="358"/>
        <v>#VALUE!</v>
      </c>
      <c r="AR316" s="530"/>
      <c r="AS316" s="360"/>
      <c r="AT316" s="362"/>
      <c r="AU316" s="362"/>
      <c r="AV316" s="362"/>
      <c r="AW316" s="362"/>
      <c r="AX316" s="362"/>
      <c r="AY316" s="362"/>
      <c r="AZ316" s="362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</row>
    <row r="317" spans="1:68" ht="20.25" customHeight="1">
      <c r="A317" s="100">
        <v>53</v>
      </c>
      <c r="B317" s="100" t="s">
        <v>52</v>
      </c>
      <c r="C317" s="100" t="s">
        <v>2206</v>
      </c>
      <c r="D317" s="102" t="s">
        <v>616</v>
      </c>
      <c r="E317" s="100" t="str">
        <f t="shared" si="300"/>
        <v>Beda</v>
      </c>
      <c r="F317" s="63">
        <f t="shared" si="349"/>
        <v>294</v>
      </c>
      <c r="G317" s="63">
        <v>8</v>
      </c>
      <c r="H317" s="62" t="s">
        <v>52</v>
      </c>
      <c r="I317" s="62" t="s">
        <v>2207</v>
      </c>
      <c r="J317" s="66">
        <v>4901.3803524166642</v>
      </c>
      <c r="K317" s="533" t="s">
        <v>661</v>
      </c>
      <c r="L317" s="68">
        <f t="shared" si="362"/>
        <v>0</v>
      </c>
      <c r="M317" s="63"/>
      <c r="N317" s="392" t="e">
        <f t="shared" si="350"/>
        <v>#VALUE!</v>
      </c>
      <c r="O317" s="382"/>
      <c r="P317" s="68"/>
      <c r="Q317" s="68"/>
      <c r="R317" s="68"/>
      <c r="S317" s="68">
        <f t="shared" si="351"/>
        <v>0</v>
      </c>
      <c r="T317" s="63"/>
      <c r="U317" s="347"/>
      <c r="V317" s="370"/>
      <c r="W317" s="370"/>
      <c r="X317" s="370"/>
      <c r="Y317" s="68">
        <f t="shared" si="352"/>
        <v>0</v>
      </c>
      <c r="Z317" s="345"/>
      <c r="AA317" s="347"/>
      <c r="AB317" s="345"/>
      <c r="AC317" s="345"/>
      <c r="AD317" s="345"/>
      <c r="AE317" s="68">
        <f t="shared" si="353"/>
        <v>0</v>
      </c>
      <c r="AF317" s="366">
        <v>2023</v>
      </c>
      <c r="AG317" s="358" t="s">
        <v>1090</v>
      </c>
      <c r="AH317" s="359"/>
      <c r="AI317" s="360"/>
      <c r="AJ317" s="360"/>
      <c r="AK317" s="360" t="str">
        <f t="shared" si="354"/>
        <v/>
      </c>
      <c r="AL317" s="18"/>
      <c r="AM317" s="360" t="e">
        <f t="shared" si="355"/>
        <v>#VALUE!</v>
      </c>
      <c r="AN317" s="360" t="str">
        <f t="shared" si="356"/>
        <v>2</v>
      </c>
      <c r="AO317" s="360"/>
      <c r="AP317" s="346" t="str">
        <f t="shared" si="357"/>
        <v>2</v>
      </c>
      <c r="AQ317" s="360" t="e">
        <f t="shared" si="358"/>
        <v>#VALUE!</v>
      </c>
      <c r="AR317" s="530"/>
      <c r="AS317" s="360"/>
      <c r="AT317" s="362"/>
      <c r="AU317" s="362"/>
      <c r="AV317" s="362"/>
      <c r="AW317" s="362"/>
      <c r="AX317" s="362"/>
      <c r="AY317" s="362"/>
      <c r="AZ317" s="362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</row>
    <row r="318" spans="1:68" ht="20.25" customHeight="1">
      <c r="A318" s="100">
        <v>53</v>
      </c>
      <c r="B318" s="100" t="s">
        <v>52</v>
      </c>
      <c r="C318" s="100" t="s">
        <v>2208</v>
      </c>
      <c r="D318" s="102" t="s">
        <v>618</v>
      </c>
      <c r="E318" s="100" t="str">
        <f t="shared" si="300"/>
        <v>Sama</v>
      </c>
      <c r="F318" s="63">
        <f t="shared" si="349"/>
        <v>295</v>
      </c>
      <c r="G318" s="63">
        <v>9</v>
      </c>
      <c r="H318" s="62" t="s">
        <v>52</v>
      </c>
      <c r="I318" s="62" t="s">
        <v>618</v>
      </c>
      <c r="J318" s="66">
        <v>12240.749552628569</v>
      </c>
      <c r="K318" s="533" t="s">
        <v>91</v>
      </c>
      <c r="L318" s="68">
        <f>AE318</f>
        <v>36425.199999999997</v>
      </c>
      <c r="M318" s="63"/>
      <c r="N318" s="392" t="e">
        <f t="shared" si="350"/>
        <v>#VALUE!</v>
      </c>
      <c r="O318" s="382"/>
      <c r="P318" s="68"/>
      <c r="Q318" s="68"/>
      <c r="R318" s="68"/>
      <c r="S318" s="68">
        <f t="shared" si="351"/>
        <v>0</v>
      </c>
      <c r="T318" s="63"/>
      <c r="U318" s="347" t="s">
        <v>161</v>
      </c>
      <c r="V318" s="370">
        <v>12365.38</v>
      </c>
      <c r="W318" s="370">
        <v>27992.59</v>
      </c>
      <c r="X318" s="370"/>
      <c r="Y318" s="68">
        <f t="shared" si="352"/>
        <v>12365.38</v>
      </c>
      <c r="Z318" s="345" t="s">
        <v>1076</v>
      </c>
      <c r="AA318" s="376" t="s">
        <v>1564</v>
      </c>
      <c r="AB318" s="373">
        <v>11907.78</v>
      </c>
      <c r="AC318" s="374">
        <v>24517.41</v>
      </c>
      <c r="AD318" s="373">
        <v>36425.199999999997</v>
      </c>
      <c r="AE318" s="68">
        <f t="shared" si="353"/>
        <v>36425.199999999997</v>
      </c>
      <c r="AF318" s="364">
        <v>2022</v>
      </c>
      <c r="AG318" s="344"/>
      <c r="AH318" s="84"/>
      <c r="AI318" s="63"/>
      <c r="AJ318" s="63"/>
      <c r="AK318" s="63" t="str">
        <f t="shared" si="354"/>
        <v>V</v>
      </c>
      <c r="AL318" s="47"/>
      <c r="AM318" s="63" t="e">
        <f t="shared" si="355"/>
        <v>#VALUE!</v>
      </c>
      <c r="AN318" s="63" t="str">
        <f t="shared" si="356"/>
        <v>2</v>
      </c>
      <c r="AO318" s="63"/>
      <c r="AP318" s="346" t="str">
        <f t="shared" si="357"/>
        <v>1</v>
      </c>
      <c r="AQ318" s="63" t="e">
        <f t="shared" si="358"/>
        <v>#VALUE!</v>
      </c>
      <c r="AR318" s="534"/>
      <c r="AS318" s="64" t="s">
        <v>2209</v>
      </c>
      <c r="AT318" s="95">
        <v>12240.75</v>
      </c>
      <c r="AU318" s="95">
        <v>36425.19</v>
      </c>
      <c r="AV318" s="371">
        <f t="shared" ref="AV318:AV320" si="363">AU318/AT318</f>
        <v>2.9757318791740706</v>
      </c>
      <c r="AW318" s="95">
        <v>11396.6</v>
      </c>
      <c r="AX318" s="371">
        <f t="shared" ref="AX318:AX320" si="364">AW318/AT318</f>
        <v>0.93103772236178339</v>
      </c>
      <c r="AY318" s="95">
        <v>844.15</v>
      </c>
      <c r="AZ318" s="371">
        <f t="shared" ref="AZ318:AZ320" si="365">AY318/AT318</f>
        <v>6.8962277638216607E-2</v>
      </c>
      <c r="BA318" s="47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</row>
    <row r="319" spans="1:68" ht="20.25" customHeight="1">
      <c r="A319" s="100">
        <v>53</v>
      </c>
      <c r="B319" s="100" t="s">
        <v>52</v>
      </c>
      <c r="C319" s="100" t="s">
        <v>2210</v>
      </c>
      <c r="D319" s="102" t="s">
        <v>620</v>
      </c>
      <c r="E319" s="100" t="str">
        <f t="shared" si="300"/>
        <v>Sama</v>
      </c>
      <c r="F319" s="63">
        <f t="shared" si="349"/>
        <v>296</v>
      </c>
      <c r="G319" s="63">
        <v>10</v>
      </c>
      <c r="H319" s="62" t="s">
        <v>52</v>
      </c>
      <c r="I319" s="62" t="s">
        <v>620</v>
      </c>
      <c r="J319" s="66">
        <v>18267.238561233615</v>
      </c>
      <c r="K319" s="533" t="s">
        <v>91</v>
      </c>
      <c r="L319" s="68">
        <f>IF(S319&gt;0,S319,IF(Y319&gt;0,Y319,IF(AE319&gt;0,AE319,0)))</f>
        <v>19119</v>
      </c>
      <c r="M319" s="63" t="s">
        <v>1076</v>
      </c>
      <c r="N319" s="392">
        <f t="shared" si="350"/>
        <v>2021</v>
      </c>
      <c r="O319" s="382" t="s">
        <v>1566</v>
      </c>
      <c r="P319" s="68"/>
      <c r="Q319" s="68"/>
      <c r="R319" s="68">
        <v>19119</v>
      </c>
      <c r="S319" s="68">
        <f t="shared" si="351"/>
        <v>19119</v>
      </c>
      <c r="T319" s="63"/>
      <c r="U319" s="385" t="s">
        <v>1567</v>
      </c>
      <c r="V319" s="370">
        <v>16787</v>
      </c>
      <c r="W319" s="370">
        <v>0</v>
      </c>
      <c r="X319" s="370">
        <v>0</v>
      </c>
      <c r="Y319" s="68">
        <f t="shared" si="352"/>
        <v>16787</v>
      </c>
      <c r="Z319" s="345" t="s">
        <v>1076</v>
      </c>
      <c r="AA319" s="536" t="s">
        <v>1568</v>
      </c>
      <c r="AB319" s="373">
        <v>16892.46</v>
      </c>
      <c r="AC319" s="374">
        <v>1860.2</v>
      </c>
      <c r="AD319" s="345"/>
      <c r="AE319" s="68">
        <f t="shared" si="353"/>
        <v>16892.46</v>
      </c>
      <c r="AF319" s="366">
        <v>2022</v>
      </c>
      <c r="AG319" s="358"/>
      <c r="AH319" s="359"/>
      <c r="AI319" s="360"/>
      <c r="AJ319" s="360"/>
      <c r="AK319" s="360" t="str">
        <f t="shared" si="354"/>
        <v>VV</v>
      </c>
      <c r="AL319" s="18"/>
      <c r="AM319" s="360" t="str">
        <f t="shared" si="355"/>
        <v>1</v>
      </c>
      <c r="AN319" s="360" t="str">
        <f t="shared" si="356"/>
        <v>1</v>
      </c>
      <c r="AO319" s="360"/>
      <c r="AP319" s="346" t="str">
        <f t="shared" si="357"/>
        <v>1</v>
      </c>
      <c r="AQ319" s="360" t="str">
        <f t="shared" si="358"/>
        <v>1.1..1</v>
      </c>
      <c r="AR319" s="530"/>
      <c r="AS319" s="362" t="s">
        <v>376</v>
      </c>
      <c r="AT319" s="367">
        <v>18267</v>
      </c>
      <c r="AU319" s="367">
        <v>19119</v>
      </c>
      <c r="AV319" s="368">
        <f t="shared" si="363"/>
        <v>1.0466414846444407</v>
      </c>
      <c r="AW319" s="367">
        <v>15903</v>
      </c>
      <c r="AX319" s="368">
        <f t="shared" si="364"/>
        <v>0.87058630316965024</v>
      </c>
      <c r="AY319" s="362">
        <v>2296</v>
      </c>
      <c r="AZ319" s="368">
        <f t="shared" si="365"/>
        <v>0.12569113702304702</v>
      </c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</row>
    <row r="320" spans="1:68" ht="20.25" customHeight="1">
      <c r="A320" s="100">
        <v>53</v>
      </c>
      <c r="B320" s="100" t="s">
        <v>52</v>
      </c>
      <c r="C320" s="100" t="s">
        <v>2211</v>
      </c>
      <c r="D320" s="102" t="s">
        <v>622</v>
      </c>
      <c r="E320" s="100" t="str">
        <f t="shared" si="300"/>
        <v>Sama</v>
      </c>
      <c r="F320" s="63">
        <f t="shared" si="349"/>
        <v>297</v>
      </c>
      <c r="G320" s="63">
        <v>11</v>
      </c>
      <c r="H320" s="62" t="s">
        <v>52</v>
      </c>
      <c r="I320" s="62" t="s">
        <v>622</v>
      </c>
      <c r="J320" s="66">
        <v>13627.13033272666</v>
      </c>
      <c r="K320" s="533" t="s">
        <v>91</v>
      </c>
      <c r="L320" s="68">
        <f>AE320</f>
        <v>15526.19</v>
      </c>
      <c r="M320" s="63"/>
      <c r="N320" s="392">
        <f t="shared" si="350"/>
        <v>2012</v>
      </c>
      <c r="O320" s="382" t="s">
        <v>843</v>
      </c>
      <c r="P320" s="68">
        <v>4500</v>
      </c>
      <c r="Q320" s="68">
        <v>0</v>
      </c>
      <c r="R320" s="68">
        <v>4500</v>
      </c>
      <c r="S320" s="68">
        <f t="shared" si="351"/>
        <v>4500</v>
      </c>
      <c r="T320" s="63"/>
      <c r="U320" s="347"/>
      <c r="V320" s="370"/>
      <c r="W320" s="370"/>
      <c r="X320" s="370"/>
      <c r="Y320" s="68">
        <f t="shared" si="352"/>
        <v>0</v>
      </c>
      <c r="Z320" s="345" t="s">
        <v>1076</v>
      </c>
      <c r="AA320" s="531" t="s">
        <v>623</v>
      </c>
      <c r="AB320" s="345">
        <v>15438.33</v>
      </c>
      <c r="AC320" s="345">
        <v>87.86</v>
      </c>
      <c r="AD320" s="345">
        <v>15526.19</v>
      </c>
      <c r="AE320" s="68">
        <f t="shared" si="353"/>
        <v>15526.19</v>
      </c>
      <c r="AF320" s="364">
        <v>2022</v>
      </c>
      <c r="AG320" s="344"/>
      <c r="AH320" s="84"/>
      <c r="AI320" s="63"/>
      <c r="AJ320" s="63"/>
      <c r="AK320" s="63" t="str">
        <f t="shared" si="354"/>
        <v>V</v>
      </c>
      <c r="AL320" s="47"/>
      <c r="AM320" s="63" t="str">
        <f t="shared" si="355"/>
        <v>2</v>
      </c>
      <c r="AN320" s="63" t="str">
        <f t="shared" si="356"/>
        <v>1</v>
      </c>
      <c r="AO320" s="63"/>
      <c r="AP320" s="346" t="str">
        <f t="shared" si="357"/>
        <v>1</v>
      </c>
      <c r="AQ320" s="63" t="str">
        <f t="shared" si="358"/>
        <v>2.1..1</v>
      </c>
      <c r="AR320" s="534"/>
      <c r="AS320" s="64" t="s">
        <v>2212</v>
      </c>
      <c r="AT320" s="95">
        <v>13627.13</v>
      </c>
      <c r="AU320" s="95">
        <v>15526.19</v>
      </c>
      <c r="AV320" s="371">
        <f t="shared" si="363"/>
        <v>1.1393587644647114</v>
      </c>
      <c r="AW320" s="95">
        <v>13044.04</v>
      </c>
      <c r="AX320" s="371">
        <f t="shared" si="364"/>
        <v>0.95721109287135309</v>
      </c>
      <c r="AY320" s="95">
        <v>583.09</v>
      </c>
      <c r="AZ320" s="371">
        <f t="shared" si="365"/>
        <v>4.2788907128647052E-2</v>
      </c>
      <c r="BA320" s="47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</row>
    <row r="321" spans="1:68" ht="20.25" customHeight="1">
      <c r="A321" s="100">
        <v>53</v>
      </c>
      <c r="B321" s="100" t="s">
        <v>52</v>
      </c>
      <c r="C321" s="100" t="s">
        <v>2213</v>
      </c>
      <c r="D321" s="102" t="s">
        <v>624</v>
      </c>
      <c r="E321" s="100" t="str">
        <f t="shared" si="300"/>
        <v>Sama</v>
      </c>
      <c r="F321" s="63">
        <f t="shared" si="349"/>
        <v>298</v>
      </c>
      <c r="G321" s="63">
        <v>12</v>
      </c>
      <c r="H321" s="62" t="s">
        <v>52</v>
      </c>
      <c r="I321" s="62" t="s">
        <v>624</v>
      </c>
      <c r="J321" s="66">
        <v>7072.646832982824</v>
      </c>
      <c r="K321" s="533" t="s">
        <v>104</v>
      </c>
      <c r="L321" s="68">
        <f t="shared" ref="L321:L331" si="366">IF(S321&gt;0,S321,IF(Y321&gt;0,Y321,IF(AE321&gt;0,AE321,0)))</f>
        <v>9936</v>
      </c>
      <c r="M321" s="63"/>
      <c r="N321" s="392">
        <f t="shared" si="350"/>
        <v>2011</v>
      </c>
      <c r="O321" s="382" t="s">
        <v>625</v>
      </c>
      <c r="P321" s="68">
        <v>9936</v>
      </c>
      <c r="Q321" s="68">
        <v>0</v>
      </c>
      <c r="R321" s="68">
        <v>9936</v>
      </c>
      <c r="S321" s="68">
        <f t="shared" si="351"/>
        <v>9936</v>
      </c>
      <c r="T321" s="63"/>
      <c r="U321" s="347"/>
      <c r="V321" s="370"/>
      <c r="W321" s="370"/>
      <c r="X321" s="370"/>
      <c r="Y321" s="68">
        <f t="shared" si="352"/>
        <v>0</v>
      </c>
      <c r="Z321" s="345"/>
      <c r="AA321" s="347"/>
      <c r="AB321" s="345"/>
      <c r="AC321" s="345"/>
      <c r="AD321" s="345"/>
      <c r="AE321" s="68">
        <f t="shared" si="353"/>
        <v>0</v>
      </c>
      <c r="AF321" s="366" t="s">
        <v>1347</v>
      </c>
      <c r="AG321" s="358"/>
      <c r="AH321" s="359"/>
      <c r="AI321" s="360"/>
      <c r="AJ321" s="360"/>
      <c r="AK321" s="360" t="str">
        <f t="shared" si="354"/>
        <v/>
      </c>
      <c r="AL321" s="18"/>
      <c r="AM321" s="360" t="str">
        <f t="shared" si="355"/>
        <v>2</v>
      </c>
      <c r="AN321" s="360" t="str">
        <f t="shared" si="356"/>
        <v>1</v>
      </c>
      <c r="AO321" s="360"/>
      <c r="AP321" s="346" t="str">
        <f t="shared" si="357"/>
        <v>2</v>
      </c>
      <c r="AQ321" s="360" t="str">
        <f t="shared" si="358"/>
        <v>2.1..2</v>
      </c>
      <c r="AR321" s="530"/>
      <c r="AS321" s="360"/>
      <c r="AT321" s="362"/>
      <c r="AU321" s="362"/>
      <c r="AV321" s="362"/>
      <c r="AW321" s="362"/>
      <c r="AX321" s="362"/>
      <c r="AY321" s="362"/>
      <c r="AZ321" s="362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</row>
    <row r="322" spans="1:68" ht="20.25" customHeight="1">
      <c r="A322" s="100">
        <v>53</v>
      </c>
      <c r="B322" s="100" t="s">
        <v>52</v>
      </c>
      <c r="C322" s="100" t="s">
        <v>2214</v>
      </c>
      <c r="D322" s="102" t="s">
        <v>626</v>
      </c>
      <c r="E322" s="100" t="str">
        <f t="shared" si="300"/>
        <v>Sama</v>
      </c>
      <c r="F322" s="63">
        <f t="shared" si="349"/>
        <v>299</v>
      </c>
      <c r="G322" s="63">
        <v>13</v>
      </c>
      <c r="H322" s="62" t="s">
        <v>52</v>
      </c>
      <c r="I322" s="62" t="s">
        <v>626</v>
      </c>
      <c r="J322" s="66">
        <v>7319.5299253026396</v>
      </c>
      <c r="K322" s="533" t="s">
        <v>91</v>
      </c>
      <c r="L322" s="68">
        <f t="shared" si="366"/>
        <v>35850</v>
      </c>
      <c r="M322" s="63"/>
      <c r="N322" s="392" t="e">
        <f t="shared" si="350"/>
        <v>#VALUE!</v>
      </c>
      <c r="O322" s="382"/>
      <c r="P322" s="68"/>
      <c r="Q322" s="68"/>
      <c r="R322" s="68"/>
      <c r="S322" s="68">
        <f t="shared" si="351"/>
        <v>0</v>
      </c>
      <c r="T322" s="63" t="s">
        <v>1076</v>
      </c>
      <c r="U322" s="347" t="s">
        <v>1572</v>
      </c>
      <c r="V322" s="370">
        <v>35850</v>
      </c>
      <c r="W322" s="370">
        <v>0</v>
      </c>
      <c r="X322" s="370">
        <v>35850</v>
      </c>
      <c r="Y322" s="68">
        <f t="shared" si="352"/>
        <v>35850</v>
      </c>
      <c r="Z322" s="345"/>
      <c r="AA322" s="347"/>
      <c r="AB322" s="345"/>
      <c r="AC322" s="345"/>
      <c r="AD322" s="345"/>
      <c r="AE322" s="68">
        <f t="shared" si="353"/>
        <v>0</v>
      </c>
      <c r="AF322" s="364" t="s">
        <v>1097</v>
      </c>
      <c r="AG322" s="344"/>
      <c r="AH322" s="84"/>
      <c r="AI322" s="63"/>
      <c r="AJ322" s="63"/>
      <c r="AK322" s="63" t="str">
        <f t="shared" si="354"/>
        <v>V</v>
      </c>
      <c r="AL322" s="47"/>
      <c r="AM322" s="63" t="e">
        <f t="shared" si="355"/>
        <v>#VALUE!</v>
      </c>
      <c r="AN322" s="63" t="str">
        <f t="shared" si="356"/>
        <v>2</v>
      </c>
      <c r="AO322" s="63"/>
      <c r="AP322" s="346" t="str">
        <f t="shared" si="357"/>
        <v>1</v>
      </c>
      <c r="AQ322" s="63" t="e">
        <f t="shared" si="358"/>
        <v>#VALUE!</v>
      </c>
      <c r="AR322" s="534"/>
      <c r="AS322" s="347"/>
      <c r="AT322" s="95"/>
      <c r="AU322" s="95"/>
      <c r="AV322" s="371" t="e">
        <f t="shared" ref="AV322:AV323" si="367">AU322/AT322</f>
        <v>#DIV/0!</v>
      </c>
      <c r="AW322" s="95"/>
      <c r="AX322" s="371" t="e">
        <f t="shared" ref="AX322:AX323" si="368">AW322/AT322</f>
        <v>#DIV/0!</v>
      </c>
      <c r="AY322" s="95"/>
      <c r="AZ322" s="371" t="e">
        <f t="shared" ref="AZ322:AZ323" si="369">AY322/AT322</f>
        <v>#DIV/0!</v>
      </c>
      <c r="BA322" s="47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</row>
    <row r="323" spans="1:68" ht="20.25" customHeight="1">
      <c r="A323" s="100">
        <v>53</v>
      </c>
      <c r="B323" s="100" t="s">
        <v>52</v>
      </c>
      <c r="C323" s="100" t="s">
        <v>2215</v>
      </c>
      <c r="D323" s="102" t="s">
        <v>628</v>
      </c>
      <c r="E323" s="100" t="str">
        <f t="shared" si="300"/>
        <v>Sama</v>
      </c>
      <c r="F323" s="63">
        <f t="shared" si="349"/>
        <v>300</v>
      </c>
      <c r="G323" s="63">
        <v>14</v>
      </c>
      <c r="H323" s="62" t="s">
        <v>52</v>
      </c>
      <c r="I323" s="62" t="s">
        <v>628</v>
      </c>
      <c r="J323" s="66">
        <v>10256.396143839016</v>
      </c>
      <c r="K323" s="533" t="s">
        <v>91</v>
      </c>
      <c r="L323" s="68">
        <f t="shared" si="366"/>
        <v>16310.98</v>
      </c>
      <c r="M323" s="63"/>
      <c r="N323" s="392" t="e">
        <f t="shared" si="350"/>
        <v>#VALUE!</v>
      </c>
      <c r="O323" s="382"/>
      <c r="P323" s="68"/>
      <c r="Q323" s="68"/>
      <c r="R323" s="68"/>
      <c r="S323" s="68">
        <f t="shared" si="351"/>
        <v>0</v>
      </c>
      <c r="T323" s="63"/>
      <c r="U323" s="347"/>
      <c r="V323" s="370"/>
      <c r="W323" s="370"/>
      <c r="X323" s="370"/>
      <c r="Y323" s="68">
        <f t="shared" si="352"/>
        <v>0</v>
      </c>
      <c r="Z323" s="345" t="s">
        <v>1076</v>
      </c>
      <c r="AA323" s="536" t="s">
        <v>629</v>
      </c>
      <c r="AB323" s="373">
        <v>16310.98</v>
      </c>
      <c r="AC323" s="374">
        <v>184.47</v>
      </c>
      <c r="AD323" s="345"/>
      <c r="AE323" s="68">
        <f t="shared" si="353"/>
        <v>16310.98</v>
      </c>
      <c r="AF323" s="364">
        <v>2022</v>
      </c>
      <c r="AG323" s="344"/>
      <c r="AH323" s="84"/>
      <c r="AI323" s="63"/>
      <c r="AJ323" s="63"/>
      <c r="AK323" s="63" t="str">
        <f t="shared" si="354"/>
        <v>V</v>
      </c>
      <c r="AL323" s="47"/>
      <c r="AM323" s="63" t="e">
        <f t="shared" si="355"/>
        <v>#VALUE!</v>
      </c>
      <c r="AN323" s="63" t="str">
        <f t="shared" si="356"/>
        <v>2</v>
      </c>
      <c r="AO323" s="63"/>
      <c r="AP323" s="346" t="str">
        <f t="shared" si="357"/>
        <v>1</v>
      </c>
      <c r="AQ323" s="63" t="e">
        <f t="shared" si="358"/>
        <v>#VALUE!</v>
      </c>
      <c r="AR323" s="534"/>
      <c r="AS323" s="64" t="s">
        <v>2216</v>
      </c>
      <c r="AT323" s="95">
        <v>10256.4</v>
      </c>
      <c r="AU323" s="95">
        <v>16495.45</v>
      </c>
      <c r="AV323" s="371">
        <f t="shared" si="367"/>
        <v>1.6083079833079834</v>
      </c>
      <c r="AW323" s="95">
        <v>9971.4599999999991</v>
      </c>
      <c r="AX323" s="371">
        <f t="shared" si="368"/>
        <v>0.97221832221832216</v>
      </c>
      <c r="AY323" s="95">
        <v>284.94</v>
      </c>
      <c r="AZ323" s="371">
        <f t="shared" si="369"/>
        <v>2.7781677781677783E-2</v>
      </c>
      <c r="BA323" s="47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</row>
    <row r="324" spans="1:68" ht="20.25" customHeight="1">
      <c r="A324" s="100">
        <v>53</v>
      </c>
      <c r="B324" s="100" t="s">
        <v>52</v>
      </c>
      <c r="C324" s="100" t="s">
        <v>2217</v>
      </c>
      <c r="D324" s="102" t="s">
        <v>630</v>
      </c>
      <c r="E324" s="100" t="str">
        <f t="shared" si="300"/>
        <v>Sama</v>
      </c>
      <c r="F324" s="63">
        <f t="shared" si="349"/>
        <v>301</v>
      </c>
      <c r="G324" s="63">
        <v>15</v>
      </c>
      <c r="H324" s="62" t="s">
        <v>52</v>
      </c>
      <c r="I324" s="62" t="s">
        <v>630</v>
      </c>
      <c r="J324" s="66">
        <v>2387.6784156206354</v>
      </c>
      <c r="K324" s="533" t="s">
        <v>104</v>
      </c>
      <c r="L324" s="68">
        <f t="shared" si="366"/>
        <v>15574</v>
      </c>
      <c r="M324" s="63"/>
      <c r="N324" s="392">
        <f t="shared" si="350"/>
        <v>2011</v>
      </c>
      <c r="O324" s="382" t="s">
        <v>631</v>
      </c>
      <c r="P324" s="68">
        <v>15574</v>
      </c>
      <c r="Q324" s="68">
        <v>0</v>
      </c>
      <c r="R324" s="68">
        <v>15574</v>
      </c>
      <c r="S324" s="68">
        <f t="shared" si="351"/>
        <v>15574</v>
      </c>
      <c r="T324" s="63"/>
      <c r="U324" s="347"/>
      <c r="V324" s="370"/>
      <c r="W324" s="370"/>
      <c r="X324" s="370"/>
      <c r="Y324" s="68">
        <f t="shared" si="352"/>
        <v>0</v>
      </c>
      <c r="Z324" s="345"/>
      <c r="AA324" s="347"/>
      <c r="AB324" s="345"/>
      <c r="AC324" s="345"/>
      <c r="AD324" s="345"/>
      <c r="AE324" s="68">
        <f t="shared" si="353"/>
        <v>0</v>
      </c>
      <c r="AF324" s="366" t="s">
        <v>1097</v>
      </c>
      <c r="AG324" s="358"/>
      <c r="AH324" s="359"/>
      <c r="AI324" s="360"/>
      <c r="AJ324" s="360"/>
      <c r="AK324" s="360" t="str">
        <f t="shared" si="354"/>
        <v/>
      </c>
      <c r="AL324" s="18"/>
      <c r="AM324" s="360" t="str">
        <f t="shared" si="355"/>
        <v>2</v>
      </c>
      <c r="AN324" s="360" t="str">
        <f t="shared" si="356"/>
        <v>1</v>
      </c>
      <c r="AO324" s="360"/>
      <c r="AP324" s="346" t="str">
        <f t="shared" si="357"/>
        <v>2</v>
      </c>
      <c r="AQ324" s="360" t="str">
        <f t="shared" si="358"/>
        <v>2.1..2</v>
      </c>
      <c r="AR324" s="530"/>
      <c r="AS324" s="360"/>
      <c r="AT324" s="362"/>
      <c r="AU324" s="362"/>
      <c r="AV324" s="362"/>
      <c r="AW324" s="362"/>
      <c r="AX324" s="362"/>
      <c r="AY324" s="362"/>
      <c r="AZ324" s="362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</row>
    <row r="325" spans="1:68" ht="20.25" customHeight="1">
      <c r="A325" s="100">
        <v>53</v>
      </c>
      <c r="B325" s="100" t="s">
        <v>52</v>
      </c>
      <c r="C325" s="100" t="s">
        <v>2218</v>
      </c>
      <c r="D325" s="102" t="s">
        <v>632</v>
      </c>
      <c r="E325" s="100" t="str">
        <f t="shared" si="300"/>
        <v>Sama</v>
      </c>
      <c r="F325" s="63">
        <f t="shared" si="349"/>
        <v>302</v>
      </c>
      <c r="G325" s="63">
        <v>16</v>
      </c>
      <c r="H325" s="62" t="s">
        <v>52</v>
      </c>
      <c r="I325" s="62" t="s">
        <v>632</v>
      </c>
      <c r="J325" s="66">
        <v>2011.5256646659145</v>
      </c>
      <c r="K325" s="533" t="s">
        <v>91</v>
      </c>
      <c r="L325" s="68">
        <f t="shared" si="366"/>
        <v>1906.8</v>
      </c>
      <c r="M325" s="63"/>
      <c r="N325" s="392" t="e">
        <f t="shared" si="350"/>
        <v>#VALUE!</v>
      </c>
      <c r="O325" s="382"/>
      <c r="P325" s="68"/>
      <c r="Q325" s="68"/>
      <c r="R325" s="68"/>
      <c r="S325" s="68">
        <f t="shared" si="351"/>
        <v>0</v>
      </c>
      <c r="T325" s="63" t="s">
        <v>1076</v>
      </c>
      <c r="U325" s="347" t="s">
        <v>633</v>
      </c>
      <c r="V325" s="370">
        <v>1906.8</v>
      </c>
      <c r="W325" s="370">
        <v>0</v>
      </c>
      <c r="X325" s="370">
        <v>1906.8</v>
      </c>
      <c r="Y325" s="68">
        <f t="shared" si="352"/>
        <v>1906.8</v>
      </c>
      <c r="Z325" s="345"/>
      <c r="AA325" s="347"/>
      <c r="AB325" s="345"/>
      <c r="AC325" s="345"/>
      <c r="AD325" s="345"/>
      <c r="AE325" s="68">
        <f t="shared" si="353"/>
        <v>0</v>
      </c>
      <c r="AF325" s="366">
        <v>2020</v>
      </c>
      <c r="AG325" s="358"/>
      <c r="AH325" s="359"/>
      <c r="AI325" s="360"/>
      <c r="AJ325" s="360"/>
      <c r="AK325" s="360" t="str">
        <f t="shared" si="354"/>
        <v>V</v>
      </c>
      <c r="AL325" s="18"/>
      <c r="AM325" s="360" t="e">
        <f t="shared" si="355"/>
        <v>#VALUE!</v>
      </c>
      <c r="AN325" s="360" t="str">
        <f t="shared" si="356"/>
        <v>2</v>
      </c>
      <c r="AO325" s="360"/>
      <c r="AP325" s="346" t="str">
        <f t="shared" si="357"/>
        <v>1</v>
      </c>
      <c r="AQ325" s="360" t="e">
        <f t="shared" si="358"/>
        <v>#VALUE!</v>
      </c>
      <c r="AR325" s="530"/>
      <c r="AS325" s="362" t="s">
        <v>155</v>
      </c>
      <c r="AT325" s="362">
        <v>2012</v>
      </c>
      <c r="AU325" s="362">
        <v>1924</v>
      </c>
      <c r="AV325" s="368">
        <f>AU325/AT325</f>
        <v>0.9562624254473161</v>
      </c>
      <c r="AW325" s="362">
        <v>1873</v>
      </c>
      <c r="AX325" s="368">
        <f>AW325/AT325</f>
        <v>0.93091451292246519</v>
      </c>
      <c r="AY325" s="362">
        <v>716</v>
      </c>
      <c r="AZ325" s="368">
        <f>AY325/AT325</f>
        <v>0.35586481113320079</v>
      </c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</row>
    <row r="326" spans="1:68" ht="20.25" customHeight="1">
      <c r="A326" s="100">
        <v>53</v>
      </c>
      <c r="B326" s="100" t="s">
        <v>52</v>
      </c>
      <c r="C326" s="100" t="s">
        <v>2219</v>
      </c>
      <c r="D326" s="102" t="s">
        <v>634</v>
      </c>
      <c r="E326" s="100" t="str">
        <f t="shared" si="300"/>
        <v>Sama</v>
      </c>
      <c r="F326" s="63">
        <f t="shared" si="349"/>
        <v>303</v>
      </c>
      <c r="G326" s="63">
        <v>17</v>
      </c>
      <c r="H326" s="62" t="s">
        <v>52</v>
      </c>
      <c r="I326" s="62" t="s">
        <v>634</v>
      </c>
      <c r="J326" s="66">
        <v>7800.4290917860417</v>
      </c>
      <c r="K326" s="533" t="s">
        <v>661</v>
      </c>
      <c r="L326" s="68">
        <f t="shared" si="366"/>
        <v>0</v>
      </c>
      <c r="M326" s="63"/>
      <c r="N326" s="392" t="e">
        <f t="shared" si="350"/>
        <v>#VALUE!</v>
      </c>
      <c r="O326" s="382"/>
      <c r="P326" s="68"/>
      <c r="Q326" s="68"/>
      <c r="R326" s="68"/>
      <c r="S326" s="68">
        <f t="shared" si="351"/>
        <v>0</v>
      </c>
      <c r="T326" s="63"/>
      <c r="U326" s="347"/>
      <c r="V326" s="370"/>
      <c r="W326" s="370"/>
      <c r="X326" s="370"/>
      <c r="Y326" s="68">
        <f t="shared" si="352"/>
        <v>0</v>
      </c>
      <c r="Z326" s="345"/>
      <c r="AA326" s="347"/>
      <c r="AB326" s="345"/>
      <c r="AC326" s="345"/>
      <c r="AD326" s="345"/>
      <c r="AE326" s="68">
        <f t="shared" si="353"/>
        <v>0</v>
      </c>
      <c r="AF326" s="366" t="s">
        <v>1129</v>
      </c>
      <c r="AG326" s="358" t="s">
        <v>1090</v>
      </c>
      <c r="AH326" s="359"/>
      <c r="AI326" s="360"/>
      <c r="AJ326" s="360"/>
      <c r="AK326" s="360" t="str">
        <f t="shared" si="354"/>
        <v/>
      </c>
      <c r="AL326" s="18"/>
      <c r="AM326" s="360" t="e">
        <f t="shared" si="355"/>
        <v>#VALUE!</v>
      </c>
      <c r="AN326" s="360" t="str">
        <f t="shared" si="356"/>
        <v>2</v>
      </c>
      <c r="AO326" s="360"/>
      <c r="AP326" s="346" t="str">
        <f t="shared" si="357"/>
        <v>2</v>
      </c>
      <c r="AQ326" s="360" t="e">
        <f t="shared" si="358"/>
        <v>#VALUE!</v>
      </c>
      <c r="AR326" s="530"/>
      <c r="AS326" s="360"/>
      <c r="AT326" s="362"/>
      <c r="AU326" s="362"/>
      <c r="AV326" s="362"/>
      <c r="AW326" s="362"/>
      <c r="AX326" s="362"/>
      <c r="AY326" s="362"/>
      <c r="AZ326" s="362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</row>
    <row r="327" spans="1:68" ht="20.25" customHeight="1">
      <c r="A327" s="100">
        <v>53</v>
      </c>
      <c r="B327" s="100" t="s">
        <v>52</v>
      </c>
      <c r="C327" s="100" t="s">
        <v>2220</v>
      </c>
      <c r="D327" s="102" t="s">
        <v>635</v>
      </c>
      <c r="E327" s="100" t="str">
        <f t="shared" si="300"/>
        <v>Sama</v>
      </c>
      <c r="F327" s="63">
        <f t="shared" si="349"/>
        <v>304</v>
      </c>
      <c r="G327" s="63">
        <v>18</v>
      </c>
      <c r="H327" s="62" t="s">
        <v>52</v>
      </c>
      <c r="I327" s="62" t="s">
        <v>635</v>
      </c>
      <c r="J327" s="66">
        <v>6390.092146617103</v>
      </c>
      <c r="K327" s="533" t="s">
        <v>661</v>
      </c>
      <c r="L327" s="68">
        <f t="shared" si="366"/>
        <v>0</v>
      </c>
      <c r="M327" s="63"/>
      <c r="N327" s="392" t="e">
        <f t="shared" si="350"/>
        <v>#VALUE!</v>
      </c>
      <c r="O327" s="382"/>
      <c r="P327" s="68"/>
      <c r="Q327" s="68"/>
      <c r="R327" s="68"/>
      <c r="S327" s="68">
        <f t="shared" si="351"/>
        <v>0</v>
      </c>
      <c r="T327" s="63"/>
      <c r="U327" s="347"/>
      <c r="V327" s="370"/>
      <c r="W327" s="370"/>
      <c r="X327" s="370"/>
      <c r="Y327" s="68">
        <f t="shared" si="352"/>
        <v>0</v>
      </c>
      <c r="Z327" s="345"/>
      <c r="AA327" s="347"/>
      <c r="AB327" s="345"/>
      <c r="AC327" s="345"/>
      <c r="AD327" s="345"/>
      <c r="AE327" s="68">
        <f t="shared" si="353"/>
        <v>0</v>
      </c>
      <c r="AF327" s="366" t="s">
        <v>1129</v>
      </c>
      <c r="AG327" s="358" t="s">
        <v>1090</v>
      </c>
      <c r="AH327" s="359"/>
      <c r="AI327" s="360"/>
      <c r="AJ327" s="360"/>
      <c r="AK327" s="360" t="str">
        <f t="shared" si="354"/>
        <v/>
      </c>
      <c r="AL327" s="18"/>
      <c r="AM327" s="360" t="e">
        <f t="shared" si="355"/>
        <v>#VALUE!</v>
      </c>
      <c r="AN327" s="360" t="str">
        <f t="shared" si="356"/>
        <v>2</v>
      </c>
      <c r="AO327" s="360"/>
      <c r="AP327" s="346" t="str">
        <f t="shared" si="357"/>
        <v>2</v>
      </c>
      <c r="AQ327" s="360" t="e">
        <f t="shared" si="358"/>
        <v>#VALUE!</v>
      </c>
      <c r="AR327" s="530"/>
      <c r="AS327" s="360"/>
      <c r="AT327" s="362"/>
      <c r="AU327" s="362"/>
      <c r="AV327" s="362"/>
      <c r="AW327" s="362"/>
      <c r="AX327" s="362"/>
      <c r="AY327" s="362"/>
      <c r="AZ327" s="362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</row>
    <row r="328" spans="1:68" ht="20.25" customHeight="1">
      <c r="A328" s="100">
        <v>53</v>
      </c>
      <c r="B328" s="100" t="s">
        <v>52</v>
      </c>
      <c r="C328" s="100" t="s">
        <v>2221</v>
      </c>
      <c r="D328" s="102" t="s">
        <v>637</v>
      </c>
      <c r="E328" s="100" t="str">
        <f t="shared" si="300"/>
        <v>Sama</v>
      </c>
      <c r="F328" s="63">
        <f t="shared" si="349"/>
        <v>305</v>
      </c>
      <c r="G328" s="63">
        <v>19</v>
      </c>
      <c r="H328" s="62" t="s">
        <v>52</v>
      </c>
      <c r="I328" s="62" t="s">
        <v>637</v>
      </c>
      <c r="J328" s="66">
        <v>6399.8942205003495</v>
      </c>
      <c r="K328" s="533" t="s">
        <v>91</v>
      </c>
      <c r="L328" s="68">
        <f t="shared" si="366"/>
        <v>5816</v>
      </c>
      <c r="M328" s="63" t="s">
        <v>1076</v>
      </c>
      <c r="N328" s="365">
        <f t="shared" si="350"/>
        <v>2020</v>
      </c>
      <c r="O328" s="347" t="s">
        <v>145</v>
      </c>
      <c r="P328" s="370">
        <v>0</v>
      </c>
      <c r="Q328" s="370">
        <v>0</v>
      </c>
      <c r="R328" s="370">
        <v>5816</v>
      </c>
      <c r="S328" s="68">
        <f t="shared" si="351"/>
        <v>5816</v>
      </c>
      <c r="T328" s="63"/>
      <c r="U328" s="347"/>
      <c r="V328" s="370"/>
      <c r="W328" s="370"/>
      <c r="X328" s="370"/>
      <c r="Y328" s="68">
        <f t="shared" si="352"/>
        <v>0</v>
      </c>
      <c r="Z328" s="345"/>
      <c r="AA328" s="347"/>
      <c r="AB328" s="345"/>
      <c r="AC328" s="345"/>
      <c r="AD328" s="345"/>
      <c r="AE328" s="68">
        <f t="shared" si="353"/>
        <v>0</v>
      </c>
      <c r="AF328" s="364">
        <v>2023</v>
      </c>
      <c r="AG328" s="344" t="s">
        <v>1090</v>
      </c>
      <c r="AH328" s="84"/>
      <c r="AI328" s="63"/>
      <c r="AJ328" s="63"/>
      <c r="AK328" s="63" t="str">
        <f t="shared" si="354"/>
        <v>V</v>
      </c>
      <c r="AL328" s="47"/>
      <c r="AM328" s="63" t="str">
        <f t="shared" si="355"/>
        <v>1</v>
      </c>
      <c r="AN328" s="63" t="str">
        <f t="shared" si="356"/>
        <v>1</v>
      </c>
      <c r="AO328" s="63"/>
      <c r="AP328" s="346" t="str">
        <f t="shared" si="357"/>
        <v>2</v>
      </c>
      <c r="AQ328" s="63" t="str">
        <f t="shared" si="358"/>
        <v>1.1..2</v>
      </c>
      <c r="AR328" s="534"/>
      <c r="AS328" s="347"/>
      <c r="AT328" s="95"/>
      <c r="AU328" s="95"/>
      <c r="AV328" s="371" t="e">
        <f t="shared" ref="AV328:AV329" si="370">AU328/AT328</f>
        <v>#DIV/0!</v>
      </c>
      <c r="AW328" s="95"/>
      <c r="AX328" s="371" t="e">
        <f t="shared" ref="AX328:AX329" si="371">AW328/AT328</f>
        <v>#DIV/0!</v>
      </c>
      <c r="AY328" s="95"/>
      <c r="AZ328" s="371" t="e">
        <f t="shared" ref="AZ328:AZ329" si="372">AY328/AT328</f>
        <v>#DIV/0!</v>
      </c>
      <c r="BA328" s="47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</row>
    <row r="329" spans="1:68" ht="20.25" customHeight="1">
      <c r="A329" s="100">
        <v>53</v>
      </c>
      <c r="B329" s="100" t="s">
        <v>52</v>
      </c>
      <c r="C329" s="100" t="s">
        <v>2222</v>
      </c>
      <c r="D329" s="102" t="s">
        <v>638</v>
      </c>
      <c r="E329" s="100" t="str">
        <f t="shared" si="300"/>
        <v>Sama</v>
      </c>
      <c r="F329" s="63">
        <f t="shared" si="349"/>
        <v>306</v>
      </c>
      <c r="G329" s="63">
        <v>20</v>
      </c>
      <c r="H329" s="62" t="s">
        <v>52</v>
      </c>
      <c r="I329" s="62" t="s">
        <v>638</v>
      </c>
      <c r="J329" s="66">
        <v>16474.383957999355</v>
      </c>
      <c r="K329" s="533" t="s">
        <v>91</v>
      </c>
      <c r="L329" s="68">
        <f t="shared" si="366"/>
        <v>34678.949999999997</v>
      </c>
      <c r="M329" s="63"/>
      <c r="N329" s="365" t="e">
        <f t="shared" si="350"/>
        <v>#VALUE!</v>
      </c>
      <c r="O329" s="347"/>
      <c r="P329" s="370"/>
      <c r="Q329" s="370"/>
      <c r="R329" s="370"/>
      <c r="S329" s="68">
        <f t="shared" si="351"/>
        <v>0</v>
      </c>
      <c r="T329" s="63"/>
      <c r="U329" s="347"/>
      <c r="V329" s="370"/>
      <c r="W329" s="370"/>
      <c r="X329" s="370"/>
      <c r="Y329" s="68">
        <f t="shared" si="352"/>
        <v>0</v>
      </c>
      <c r="Z329" s="345" t="s">
        <v>1076</v>
      </c>
      <c r="AA329" s="536" t="s">
        <v>639</v>
      </c>
      <c r="AB329" s="373">
        <v>34678.949999999997</v>
      </c>
      <c r="AC329" s="345"/>
      <c r="AD329" s="345">
        <f>AB329</f>
        <v>34678.949999999997</v>
      </c>
      <c r="AE329" s="68">
        <f t="shared" si="353"/>
        <v>34678.949999999997</v>
      </c>
      <c r="AF329" s="364">
        <v>2022</v>
      </c>
      <c r="AG329" s="344"/>
      <c r="AH329" s="84"/>
      <c r="AI329" s="63"/>
      <c r="AJ329" s="63"/>
      <c r="AK329" s="63" t="str">
        <f t="shared" si="354"/>
        <v>V</v>
      </c>
      <c r="AL329" s="47"/>
      <c r="AM329" s="63" t="e">
        <f t="shared" si="355"/>
        <v>#VALUE!</v>
      </c>
      <c r="AN329" s="63" t="str">
        <f t="shared" si="356"/>
        <v>2</v>
      </c>
      <c r="AO329" s="63"/>
      <c r="AP329" s="346" t="str">
        <f t="shared" si="357"/>
        <v>1</v>
      </c>
      <c r="AQ329" s="63" t="e">
        <f t="shared" si="358"/>
        <v>#VALUE!</v>
      </c>
      <c r="AR329" s="534"/>
      <c r="AS329" s="64" t="s">
        <v>2223</v>
      </c>
      <c r="AT329" s="95">
        <v>16474.38</v>
      </c>
      <c r="AU329" s="95">
        <v>34678.949999999997</v>
      </c>
      <c r="AV329" s="371">
        <f t="shared" si="370"/>
        <v>2.1050230721884522</v>
      </c>
      <c r="AW329" s="95">
        <v>15590.61</v>
      </c>
      <c r="AX329" s="371">
        <f t="shared" si="371"/>
        <v>0.94635488558598257</v>
      </c>
      <c r="AY329" s="95">
        <v>883.78</v>
      </c>
      <c r="AZ329" s="371">
        <f t="shared" si="372"/>
        <v>5.3645721417133752E-2</v>
      </c>
      <c r="BA329" s="47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</row>
    <row r="330" spans="1:68" ht="20.25" customHeight="1">
      <c r="A330" s="100">
        <v>53</v>
      </c>
      <c r="B330" s="100" t="s">
        <v>52</v>
      </c>
      <c r="C330" s="100" t="s">
        <v>2224</v>
      </c>
      <c r="D330" s="102" t="s">
        <v>640</v>
      </c>
      <c r="E330" s="100" t="str">
        <f t="shared" si="300"/>
        <v>Sama</v>
      </c>
      <c r="F330" s="63">
        <f t="shared" si="349"/>
        <v>307</v>
      </c>
      <c r="G330" s="63">
        <v>21</v>
      </c>
      <c r="H330" s="62" t="s">
        <v>52</v>
      </c>
      <c r="I330" s="62" t="s">
        <v>640</v>
      </c>
      <c r="J330" s="66">
        <v>5256.3627807396306</v>
      </c>
      <c r="K330" s="533" t="s">
        <v>104</v>
      </c>
      <c r="L330" s="68">
        <f t="shared" si="366"/>
        <v>18335</v>
      </c>
      <c r="M330" s="63"/>
      <c r="N330" s="392">
        <f t="shared" si="350"/>
        <v>2012</v>
      </c>
      <c r="O330" s="382" t="s">
        <v>198</v>
      </c>
      <c r="P330" s="68">
        <v>18335</v>
      </c>
      <c r="Q330" s="68">
        <v>0</v>
      </c>
      <c r="R330" s="68">
        <v>18335</v>
      </c>
      <c r="S330" s="68">
        <f t="shared" si="351"/>
        <v>18335</v>
      </c>
      <c r="T330" s="63"/>
      <c r="U330" s="347"/>
      <c r="V330" s="370"/>
      <c r="W330" s="370"/>
      <c r="X330" s="370"/>
      <c r="Y330" s="68">
        <f t="shared" si="352"/>
        <v>0</v>
      </c>
      <c r="Z330" s="345"/>
      <c r="AA330" s="347"/>
      <c r="AB330" s="345"/>
      <c r="AC330" s="345"/>
      <c r="AD330" s="345"/>
      <c r="AE330" s="68">
        <f t="shared" si="353"/>
        <v>0</v>
      </c>
      <c r="AF330" s="366">
        <v>2023</v>
      </c>
      <c r="AG330" s="358" t="s">
        <v>1090</v>
      </c>
      <c r="AH330" s="359"/>
      <c r="AI330" s="360"/>
      <c r="AJ330" s="360"/>
      <c r="AK330" s="360" t="str">
        <f t="shared" si="354"/>
        <v/>
      </c>
      <c r="AL330" s="18"/>
      <c r="AM330" s="360" t="str">
        <f t="shared" si="355"/>
        <v>2</v>
      </c>
      <c r="AN330" s="360" t="str">
        <f t="shared" si="356"/>
        <v>1</v>
      </c>
      <c r="AO330" s="360"/>
      <c r="AP330" s="346" t="str">
        <f t="shared" si="357"/>
        <v>2</v>
      </c>
      <c r="AQ330" s="360" t="str">
        <f t="shared" si="358"/>
        <v>2.1..2</v>
      </c>
      <c r="AR330" s="530"/>
      <c r="AS330" s="360"/>
      <c r="AT330" s="362"/>
      <c r="AU330" s="362"/>
      <c r="AV330" s="362"/>
      <c r="AW330" s="362"/>
      <c r="AX330" s="362"/>
      <c r="AY330" s="362"/>
      <c r="AZ330" s="362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</row>
    <row r="331" spans="1:68" ht="20.25" customHeight="1">
      <c r="A331" s="100">
        <v>53</v>
      </c>
      <c r="B331" s="100" t="s">
        <v>52</v>
      </c>
      <c r="C331" s="100" t="s">
        <v>2225</v>
      </c>
      <c r="D331" s="102" t="s">
        <v>642</v>
      </c>
      <c r="E331" s="100" t="str">
        <f t="shared" si="300"/>
        <v>Sama</v>
      </c>
      <c r="F331" s="63">
        <f t="shared" si="349"/>
        <v>308</v>
      </c>
      <c r="G331" s="63">
        <v>22</v>
      </c>
      <c r="H331" s="62" t="s">
        <v>52</v>
      </c>
      <c r="I331" s="62" t="s">
        <v>642</v>
      </c>
      <c r="J331" s="66">
        <v>8421.2263183102386</v>
      </c>
      <c r="K331" s="533" t="s">
        <v>661</v>
      </c>
      <c r="L331" s="68">
        <f t="shared" si="366"/>
        <v>0</v>
      </c>
      <c r="M331" s="63"/>
      <c r="N331" s="392" t="e">
        <f t="shared" si="350"/>
        <v>#VALUE!</v>
      </c>
      <c r="O331" s="382"/>
      <c r="P331" s="68"/>
      <c r="Q331" s="68"/>
      <c r="R331" s="68"/>
      <c r="S331" s="68">
        <f t="shared" si="351"/>
        <v>0</v>
      </c>
      <c r="T331" s="63"/>
      <c r="U331" s="347"/>
      <c r="V331" s="370"/>
      <c r="W331" s="370"/>
      <c r="X331" s="370"/>
      <c r="Y331" s="68">
        <f t="shared" si="352"/>
        <v>0</v>
      </c>
      <c r="Z331" s="345"/>
      <c r="AA331" s="347"/>
      <c r="AB331" s="345"/>
      <c r="AC331" s="345"/>
      <c r="AD331" s="345"/>
      <c r="AE331" s="68">
        <f t="shared" si="353"/>
        <v>0</v>
      </c>
      <c r="AF331" s="366">
        <v>2023</v>
      </c>
      <c r="AG331" s="358" t="s">
        <v>1090</v>
      </c>
      <c r="AH331" s="359"/>
      <c r="AI331" s="360"/>
      <c r="AJ331" s="360"/>
      <c r="AK331" s="360" t="str">
        <f t="shared" si="354"/>
        <v/>
      </c>
      <c r="AL331" s="18"/>
      <c r="AM331" s="360" t="e">
        <f t="shared" si="355"/>
        <v>#VALUE!</v>
      </c>
      <c r="AN331" s="360" t="str">
        <f t="shared" si="356"/>
        <v>2</v>
      </c>
      <c r="AO331" s="360"/>
      <c r="AP331" s="346" t="str">
        <f t="shared" si="357"/>
        <v>2</v>
      </c>
      <c r="AQ331" s="360" t="e">
        <f t="shared" si="358"/>
        <v>#VALUE!</v>
      </c>
      <c r="AR331" s="530"/>
      <c r="AS331" s="360"/>
      <c r="AT331" s="362"/>
      <c r="AU331" s="362"/>
      <c r="AV331" s="362"/>
      <c r="AW331" s="362"/>
      <c r="AX331" s="362"/>
      <c r="AY331" s="362"/>
      <c r="AZ331" s="362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</row>
    <row r="332" spans="1:68" ht="20.25" customHeight="1">
      <c r="A332" s="100">
        <v>61</v>
      </c>
      <c r="B332" s="100" t="s">
        <v>53</v>
      </c>
      <c r="C332" s="100">
        <v>61</v>
      </c>
      <c r="D332" s="102" t="s">
        <v>2226</v>
      </c>
      <c r="E332" s="100" t="str">
        <f t="shared" si="300"/>
        <v>Sama</v>
      </c>
      <c r="F332" s="63"/>
      <c r="G332" s="342"/>
      <c r="H332" s="379"/>
      <c r="I332" s="379" t="s">
        <v>2226</v>
      </c>
      <c r="J332" s="380"/>
      <c r="K332" s="353">
        <f>COUNTIF(K333:K346,"D") + COUNTIF(K333:K346,"DS")</f>
        <v>8</v>
      </c>
      <c r="L332" s="383">
        <f>SUBTOTAL(9,L333:L346)</f>
        <v>207007.72</v>
      </c>
      <c r="M332" s="342"/>
      <c r="N332" s="355"/>
      <c r="O332" s="356"/>
      <c r="P332" s="383">
        <f t="shared" ref="P332:Y332" si="373">SUBTOTAL(9,P340:P345)</f>
        <v>90305</v>
      </c>
      <c r="Q332" s="383">
        <f t="shared" si="373"/>
        <v>0</v>
      </c>
      <c r="R332" s="383">
        <f t="shared" si="373"/>
        <v>90305</v>
      </c>
      <c r="S332" s="383">
        <f t="shared" si="373"/>
        <v>90305</v>
      </c>
      <c r="T332" s="383">
        <f t="shared" si="373"/>
        <v>0</v>
      </c>
      <c r="U332" s="406">
        <f t="shared" si="373"/>
        <v>0</v>
      </c>
      <c r="V332" s="383">
        <f t="shared" si="373"/>
        <v>98005</v>
      </c>
      <c r="W332" s="383">
        <f t="shared" si="373"/>
        <v>0</v>
      </c>
      <c r="X332" s="383">
        <f t="shared" si="373"/>
        <v>98005</v>
      </c>
      <c r="Y332" s="383">
        <f t="shared" si="373"/>
        <v>98005</v>
      </c>
      <c r="Z332" s="383">
        <v>1</v>
      </c>
      <c r="AA332" s="406">
        <v>1</v>
      </c>
      <c r="AB332" s="383">
        <f t="shared" ref="AB332:AD332" si="374">SUBTOTAL(9,AB333:AB346)</f>
        <v>66197.03</v>
      </c>
      <c r="AC332" s="383">
        <f t="shared" si="374"/>
        <v>55190.59</v>
      </c>
      <c r="AD332" s="383">
        <f t="shared" si="374"/>
        <v>106010.3</v>
      </c>
      <c r="AE332" s="383">
        <f>SUBTOTAL(9,AE340:AE345)</f>
        <v>43948.12</v>
      </c>
      <c r="AF332" s="357" t="s">
        <v>1138</v>
      </c>
      <c r="AG332" s="358"/>
      <c r="AH332" s="359"/>
      <c r="AI332" s="360"/>
      <c r="AJ332" s="360"/>
      <c r="AK332" s="361">
        <f>COUNTIF(AK333:AK346,"V") + COUNTIF(AK333:AK346,"VV") + COUNTIF(AK333:AK346,"VVV")</f>
        <v>4</v>
      </c>
      <c r="AL332" s="18"/>
      <c r="AM332" s="360"/>
      <c r="AN332" s="360"/>
      <c r="AO332" s="360"/>
      <c r="AP332" s="346"/>
      <c r="AQ332" s="360"/>
      <c r="AR332" s="530"/>
      <c r="AS332" s="360"/>
      <c r="AT332" s="362"/>
      <c r="AU332" s="362"/>
      <c r="AV332" s="362"/>
      <c r="AW332" s="362"/>
      <c r="AX332" s="362"/>
      <c r="AY332" s="362"/>
      <c r="AZ332" s="362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</row>
    <row r="333" spans="1:68" ht="20.25" customHeight="1">
      <c r="A333" s="100">
        <v>61</v>
      </c>
      <c r="B333" s="100" t="s">
        <v>53</v>
      </c>
      <c r="C333" s="100" t="s">
        <v>2227</v>
      </c>
      <c r="D333" s="102" t="s">
        <v>644</v>
      </c>
      <c r="E333" s="100" t="str">
        <f t="shared" si="300"/>
        <v>Sama</v>
      </c>
      <c r="F333" s="63">
        <f t="shared" ref="F333:F346" si="375">SUBTOTAL(3,$G$7:G333)</f>
        <v>309</v>
      </c>
      <c r="G333" s="63">
        <v>1</v>
      </c>
      <c r="H333" s="64" t="s">
        <v>53</v>
      </c>
      <c r="I333" s="64" t="s">
        <v>644</v>
      </c>
      <c r="J333" s="93">
        <v>10500.009330164456</v>
      </c>
      <c r="K333" s="533" t="s">
        <v>91</v>
      </c>
      <c r="L333" s="68">
        <f t="shared" ref="L333:L346" si="376">IF(S333&gt;0,S333,IF(Y333&gt;0,Y333,IF(AE333&gt;0,AE333,0)))</f>
        <v>51932.81</v>
      </c>
      <c r="M333" s="63"/>
      <c r="N333" s="392">
        <f t="shared" ref="N333:N346" si="377">VALUE(RIGHT(O333,4))</f>
        <v>2014</v>
      </c>
      <c r="O333" s="382" t="s">
        <v>147</v>
      </c>
      <c r="P333" s="68"/>
      <c r="Q333" s="68"/>
      <c r="R333" s="68"/>
      <c r="S333" s="68">
        <f t="shared" ref="S333:S346" si="378">IF(R333&gt;0,R333,IF(P333&gt;0,P333,0))</f>
        <v>0</v>
      </c>
      <c r="T333" s="63"/>
      <c r="U333" s="347"/>
      <c r="V333" s="370"/>
      <c r="W333" s="370"/>
      <c r="X333" s="370"/>
      <c r="Y333" s="68">
        <f t="shared" ref="Y333:Y342" si="379">IF(X333&gt;0,X333,IF(V333&gt;0,V333,0))</f>
        <v>0</v>
      </c>
      <c r="Z333" s="345" t="s">
        <v>1076</v>
      </c>
      <c r="AA333" s="531" t="s">
        <v>645</v>
      </c>
      <c r="AB333" s="345">
        <v>8341.99</v>
      </c>
      <c r="AC333" s="345">
        <v>43590.82</v>
      </c>
      <c r="AD333" s="345">
        <f>AB333+AC333</f>
        <v>51932.81</v>
      </c>
      <c r="AE333" s="68">
        <f t="shared" ref="AE333:AE346" si="380">IF(AD333&gt;0,AD333,IF(AB333&gt;0,AB333,0))</f>
        <v>51932.81</v>
      </c>
      <c r="AF333" s="364">
        <v>2022</v>
      </c>
      <c r="AG333" s="344"/>
      <c r="AH333" s="84"/>
      <c r="AI333" s="63"/>
      <c r="AJ333" s="63"/>
      <c r="AK333" s="63" t="str">
        <f t="shared" ref="AK333:AK346" si="381">CONCATENATE(M333,T333,Z333)</f>
        <v>V</v>
      </c>
      <c r="AL333" s="47"/>
      <c r="AM333" s="63" t="str">
        <f t="shared" ref="AM333:AM346" si="382">IF(N333=0,"3",IF(N333&lt;=2018,"2","1"))</f>
        <v>2</v>
      </c>
      <c r="AN333" s="63" t="str">
        <f t="shared" ref="AN333:AN346" si="383">IF(S333&gt;0,"1","2")</f>
        <v>2</v>
      </c>
      <c r="AO333" s="63">
        <v>1</v>
      </c>
      <c r="AP333" s="346" t="str">
        <f t="shared" ref="AP333:AP346" si="384">IF(Y333&gt;0,"1",IF(AE333&gt;0,"1","2"))</f>
        <v>1</v>
      </c>
      <c r="AQ333" s="63" t="str">
        <f t="shared" ref="AQ333:AQ346" si="385">CONCATENATE(AM333,".",AN333,".",AO333,".",AP333)</f>
        <v>2.2.1.1</v>
      </c>
      <c r="AR333" s="534"/>
      <c r="AS333" s="64" t="s">
        <v>2228</v>
      </c>
      <c r="AT333" s="95">
        <v>10500.01</v>
      </c>
      <c r="AU333" s="95">
        <v>51932.81</v>
      </c>
      <c r="AV333" s="371">
        <f>AU333/AT333</f>
        <v>4.9459771943074333</v>
      </c>
      <c r="AW333" s="95">
        <v>7600.2</v>
      </c>
      <c r="AX333" s="371">
        <f>AW333/AT333</f>
        <v>0.72382788206868376</v>
      </c>
      <c r="AY333" s="95">
        <v>2899.81</v>
      </c>
      <c r="AZ333" s="371">
        <f>AY333/AT333</f>
        <v>0.27617211793131624</v>
      </c>
      <c r="BA333" s="47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</row>
    <row r="334" spans="1:68" ht="20.25" customHeight="1">
      <c r="A334" s="100">
        <v>61</v>
      </c>
      <c r="B334" s="100" t="s">
        <v>53</v>
      </c>
      <c r="C334" s="100" t="s">
        <v>2229</v>
      </c>
      <c r="D334" s="102" t="s">
        <v>646</v>
      </c>
      <c r="E334" s="100" t="str">
        <f t="shared" si="300"/>
        <v>Sama</v>
      </c>
      <c r="F334" s="63">
        <f t="shared" si="375"/>
        <v>310</v>
      </c>
      <c r="G334" s="63">
        <v>2</v>
      </c>
      <c r="H334" s="64" t="s">
        <v>53</v>
      </c>
      <c r="I334" s="64" t="s">
        <v>646</v>
      </c>
      <c r="J334" s="93">
        <v>12458.903367377237</v>
      </c>
      <c r="K334" s="533" t="s">
        <v>661</v>
      </c>
      <c r="L334" s="68">
        <f t="shared" si="376"/>
        <v>0</v>
      </c>
      <c r="M334" s="63"/>
      <c r="N334" s="392" t="e">
        <f t="shared" si="377"/>
        <v>#VALUE!</v>
      </c>
      <c r="O334" s="382"/>
      <c r="P334" s="68"/>
      <c r="Q334" s="68"/>
      <c r="R334" s="68"/>
      <c r="S334" s="68">
        <f t="shared" si="378"/>
        <v>0</v>
      </c>
      <c r="T334" s="63"/>
      <c r="U334" s="347"/>
      <c r="V334" s="370"/>
      <c r="W334" s="370"/>
      <c r="X334" s="370"/>
      <c r="Y334" s="68">
        <f t="shared" si="379"/>
        <v>0</v>
      </c>
      <c r="Z334" s="345"/>
      <c r="AA334" s="347"/>
      <c r="AB334" s="345"/>
      <c r="AC334" s="345"/>
      <c r="AD334" s="345"/>
      <c r="AE334" s="68">
        <f t="shared" si="380"/>
        <v>0</v>
      </c>
      <c r="AF334" s="366" t="s">
        <v>1097</v>
      </c>
      <c r="AG334" s="358"/>
      <c r="AH334" s="359"/>
      <c r="AI334" s="360"/>
      <c r="AJ334" s="360"/>
      <c r="AK334" s="360" t="str">
        <f t="shared" si="381"/>
        <v/>
      </c>
      <c r="AL334" s="18"/>
      <c r="AM334" s="360" t="e">
        <f t="shared" si="382"/>
        <v>#VALUE!</v>
      </c>
      <c r="AN334" s="360" t="str">
        <f t="shared" si="383"/>
        <v>2</v>
      </c>
      <c r="AO334" s="360"/>
      <c r="AP334" s="346" t="str">
        <f t="shared" si="384"/>
        <v>2</v>
      </c>
      <c r="AQ334" s="360" t="e">
        <f t="shared" si="385"/>
        <v>#VALUE!</v>
      </c>
      <c r="AR334" s="530"/>
      <c r="AS334" s="360"/>
      <c r="AT334" s="362"/>
      <c r="AU334" s="362"/>
      <c r="AV334" s="362"/>
      <c r="AW334" s="362"/>
      <c r="AX334" s="362"/>
      <c r="AY334" s="362"/>
      <c r="AZ334" s="362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</row>
    <row r="335" spans="1:68" ht="20.25" customHeight="1">
      <c r="A335" s="100">
        <v>61</v>
      </c>
      <c r="B335" s="100" t="s">
        <v>53</v>
      </c>
      <c r="C335" s="100" t="s">
        <v>2230</v>
      </c>
      <c r="D335" s="102" t="s">
        <v>648</v>
      </c>
      <c r="E335" s="100" t="str">
        <f t="shared" si="300"/>
        <v>Sama</v>
      </c>
      <c r="F335" s="63">
        <f t="shared" si="375"/>
        <v>311</v>
      </c>
      <c r="G335" s="63">
        <v>3</v>
      </c>
      <c r="H335" s="64" t="s">
        <v>53</v>
      </c>
      <c r="I335" s="64" t="s">
        <v>648</v>
      </c>
      <c r="J335" s="93">
        <v>12592.611472418303</v>
      </c>
      <c r="K335" s="533" t="s">
        <v>91</v>
      </c>
      <c r="L335" s="68">
        <f t="shared" si="376"/>
        <v>10129.370000000001</v>
      </c>
      <c r="M335" s="63"/>
      <c r="N335" s="392" t="e">
        <f t="shared" si="377"/>
        <v>#VALUE!</v>
      </c>
      <c r="O335" s="382"/>
      <c r="P335" s="68"/>
      <c r="Q335" s="68"/>
      <c r="R335" s="68"/>
      <c r="S335" s="68">
        <f t="shared" si="378"/>
        <v>0</v>
      </c>
      <c r="T335" s="63"/>
      <c r="U335" s="347"/>
      <c r="V335" s="370"/>
      <c r="W335" s="370"/>
      <c r="X335" s="370"/>
      <c r="Y335" s="68">
        <f t="shared" si="379"/>
        <v>0</v>
      </c>
      <c r="Z335" s="345" t="s">
        <v>1076</v>
      </c>
      <c r="AA335" s="531" t="s">
        <v>649</v>
      </c>
      <c r="AB335" s="345">
        <v>8161.45</v>
      </c>
      <c r="AC335" s="345">
        <v>1967.92</v>
      </c>
      <c r="AD335" s="345">
        <v>10129.370000000001</v>
      </c>
      <c r="AE335" s="68">
        <f t="shared" si="380"/>
        <v>10129.370000000001</v>
      </c>
      <c r="AF335" s="364">
        <v>2022</v>
      </c>
      <c r="AG335" s="344"/>
      <c r="AH335" s="84"/>
      <c r="AI335" s="63"/>
      <c r="AJ335" s="63"/>
      <c r="AK335" s="63" t="str">
        <f t="shared" si="381"/>
        <v>V</v>
      </c>
      <c r="AL335" s="47"/>
      <c r="AM335" s="63" t="e">
        <f t="shared" si="382"/>
        <v>#VALUE!</v>
      </c>
      <c r="AN335" s="63" t="str">
        <f t="shared" si="383"/>
        <v>2</v>
      </c>
      <c r="AO335" s="63"/>
      <c r="AP335" s="346" t="str">
        <f t="shared" si="384"/>
        <v>1</v>
      </c>
      <c r="AQ335" s="63" t="e">
        <f t="shared" si="385"/>
        <v>#VALUE!</v>
      </c>
      <c r="AR335" s="534"/>
      <c r="AS335" s="64" t="s">
        <v>649</v>
      </c>
      <c r="AT335" s="95">
        <v>12592.61</v>
      </c>
      <c r="AU335" s="95">
        <v>10129.370000000001</v>
      </c>
      <c r="AV335" s="371">
        <f>AU335/AT335</f>
        <v>0.80439003510789264</v>
      </c>
      <c r="AW335" s="95">
        <v>7857.05</v>
      </c>
      <c r="AX335" s="371">
        <f>AW335/AT335</f>
        <v>0.6239413433752018</v>
      </c>
      <c r="AY335" s="95">
        <v>4735.5600000000004</v>
      </c>
      <c r="AZ335" s="371">
        <f>AY335/AT335</f>
        <v>0.3760586566247982</v>
      </c>
      <c r="BA335" s="47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</row>
    <row r="336" spans="1:68" ht="20.25" customHeight="1">
      <c r="A336" s="100">
        <v>61</v>
      </c>
      <c r="B336" s="100" t="s">
        <v>53</v>
      </c>
      <c r="C336" s="100" t="s">
        <v>2231</v>
      </c>
      <c r="D336" s="102" t="s">
        <v>650</v>
      </c>
      <c r="E336" s="100" t="str">
        <f t="shared" si="300"/>
        <v>Sama</v>
      </c>
      <c r="F336" s="63">
        <f t="shared" si="375"/>
        <v>312</v>
      </c>
      <c r="G336" s="63">
        <v>4</v>
      </c>
      <c r="H336" s="64" t="s">
        <v>53</v>
      </c>
      <c r="I336" s="64" t="s">
        <v>650</v>
      </c>
      <c r="J336" s="93">
        <v>32525.122046505749</v>
      </c>
      <c r="K336" s="533" t="s">
        <v>661</v>
      </c>
      <c r="L336" s="68">
        <f t="shared" si="376"/>
        <v>0</v>
      </c>
      <c r="M336" s="63"/>
      <c r="N336" s="392" t="e">
        <f t="shared" si="377"/>
        <v>#VALUE!</v>
      </c>
      <c r="O336" s="382"/>
      <c r="P336" s="68"/>
      <c r="Q336" s="68"/>
      <c r="R336" s="68"/>
      <c r="S336" s="68">
        <f t="shared" si="378"/>
        <v>0</v>
      </c>
      <c r="T336" s="63"/>
      <c r="U336" s="347"/>
      <c r="V336" s="370"/>
      <c r="W336" s="370"/>
      <c r="X336" s="370"/>
      <c r="Y336" s="68">
        <f t="shared" si="379"/>
        <v>0</v>
      </c>
      <c r="Z336" s="345"/>
      <c r="AA336" s="347"/>
      <c r="AB336" s="345"/>
      <c r="AC336" s="345"/>
      <c r="AD336" s="345"/>
      <c r="AE336" s="68">
        <f t="shared" si="380"/>
        <v>0</v>
      </c>
      <c r="AF336" s="366">
        <v>2023</v>
      </c>
      <c r="AG336" s="358" t="s">
        <v>1160</v>
      </c>
      <c r="AH336" s="359"/>
      <c r="AI336" s="360"/>
      <c r="AJ336" s="360"/>
      <c r="AK336" s="360" t="str">
        <f t="shared" si="381"/>
        <v/>
      </c>
      <c r="AL336" s="18"/>
      <c r="AM336" s="360" t="e">
        <f t="shared" si="382"/>
        <v>#VALUE!</v>
      </c>
      <c r="AN336" s="360" t="str">
        <f t="shared" si="383"/>
        <v>2</v>
      </c>
      <c r="AO336" s="360"/>
      <c r="AP336" s="346" t="str">
        <f t="shared" si="384"/>
        <v>2</v>
      </c>
      <c r="AQ336" s="360" t="e">
        <f t="shared" si="385"/>
        <v>#VALUE!</v>
      </c>
      <c r="AR336" s="530"/>
      <c r="AS336" s="360"/>
      <c r="AT336" s="362"/>
      <c r="AU336" s="362"/>
      <c r="AV336" s="362"/>
      <c r="AW336" s="362"/>
      <c r="AX336" s="362"/>
      <c r="AY336" s="362"/>
      <c r="AZ336" s="362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</row>
    <row r="337" spans="1:68" ht="20.25" customHeight="1">
      <c r="A337" s="100">
        <v>61</v>
      </c>
      <c r="B337" s="100" t="s">
        <v>53</v>
      </c>
      <c r="C337" s="100" t="s">
        <v>2232</v>
      </c>
      <c r="D337" s="102" t="s">
        <v>652</v>
      </c>
      <c r="E337" s="100" t="str">
        <f t="shared" si="300"/>
        <v>Sama</v>
      </c>
      <c r="F337" s="63">
        <f t="shared" si="375"/>
        <v>313</v>
      </c>
      <c r="G337" s="63">
        <v>5</v>
      </c>
      <c r="H337" s="64" t="s">
        <v>53</v>
      </c>
      <c r="I337" s="64" t="s">
        <v>652</v>
      </c>
      <c r="J337" s="93">
        <v>252.7229243936309</v>
      </c>
      <c r="K337" s="533" t="s">
        <v>661</v>
      </c>
      <c r="L337" s="68">
        <f t="shared" si="376"/>
        <v>0</v>
      </c>
      <c r="M337" s="63"/>
      <c r="N337" s="392" t="e">
        <f t="shared" si="377"/>
        <v>#VALUE!</v>
      </c>
      <c r="O337" s="382"/>
      <c r="P337" s="68"/>
      <c r="Q337" s="68"/>
      <c r="R337" s="68"/>
      <c r="S337" s="68">
        <f t="shared" si="378"/>
        <v>0</v>
      </c>
      <c r="T337" s="63"/>
      <c r="U337" s="347"/>
      <c r="V337" s="370"/>
      <c r="W337" s="370"/>
      <c r="X337" s="370"/>
      <c r="Y337" s="68">
        <f t="shared" si="379"/>
        <v>0</v>
      </c>
      <c r="Z337" s="345"/>
      <c r="AA337" s="347"/>
      <c r="AB337" s="345"/>
      <c r="AC337" s="345"/>
      <c r="AD337" s="345"/>
      <c r="AE337" s="68">
        <f t="shared" si="380"/>
        <v>0</v>
      </c>
      <c r="AF337" s="366" t="s">
        <v>1097</v>
      </c>
      <c r="AG337" s="358"/>
      <c r="AH337" s="359"/>
      <c r="AI337" s="360"/>
      <c r="AJ337" s="360"/>
      <c r="AK337" s="360" t="str">
        <f t="shared" si="381"/>
        <v/>
      </c>
      <c r="AL337" s="18"/>
      <c r="AM337" s="360" t="e">
        <f t="shared" si="382"/>
        <v>#VALUE!</v>
      </c>
      <c r="AN337" s="360" t="str">
        <f t="shared" si="383"/>
        <v>2</v>
      </c>
      <c r="AO337" s="360"/>
      <c r="AP337" s="346" t="str">
        <f t="shared" si="384"/>
        <v>2</v>
      </c>
      <c r="AQ337" s="360" t="e">
        <f t="shared" si="385"/>
        <v>#VALUE!</v>
      </c>
      <c r="AR337" s="530"/>
      <c r="AS337" s="360"/>
      <c r="AT337" s="362"/>
      <c r="AU337" s="362"/>
      <c r="AV337" s="362"/>
      <c r="AW337" s="362"/>
      <c r="AX337" s="362"/>
      <c r="AY337" s="362"/>
      <c r="AZ337" s="362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</row>
    <row r="338" spans="1:68" ht="20.25" customHeight="1">
      <c r="A338" s="100">
        <v>61</v>
      </c>
      <c r="B338" s="100" t="s">
        <v>53</v>
      </c>
      <c r="C338" s="100" t="s">
        <v>2233</v>
      </c>
      <c r="D338" s="102" t="s">
        <v>654</v>
      </c>
      <c r="E338" s="100" t="str">
        <f t="shared" si="300"/>
        <v>Sama</v>
      </c>
      <c r="F338" s="63">
        <f t="shared" si="375"/>
        <v>314</v>
      </c>
      <c r="G338" s="63">
        <v>6</v>
      </c>
      <c r="H338" s="64" t="s">
        <v>53</v>
      </c>
      <c r="I338" s="64" t="s">
        <v>654</v>
      </c>
      <c r="J338" s="93">
        <v>2699.8937723652225</v>
      </c>
      <c r="K338" s="533" t="s">
        <v>661</v>
      </c>
      <c r="L338" s="68">
        <f t="shared" si="376"/>
        <v>0</v>
      </c>
      <c r="M338" s="63"/>
      <c r="N338" s="392" t="e">
        <f t="shared" si="377"/>
        <v>#VALUE!</v>
      </c>
      <c r="O338" s="382"/>
      <c r="P338" s="68"/>
      <c r="Q338" s="68"/>
      <c r="R338" s="68"/>
      <c r="S338" s="68">
        <f t="shared" si="378"/>
        <v>0</v>
      </c>
      <c r="T338" s="63"/>
      <c r="U338" s="347"/>
      <c r="V338" s="370"/>
      <c r="W338" s="370"/>
      <c r="X338" s="370"/>
      <c r="Y338" s="68">
        <f t="shared" si="379"/>
        <v>0</v>
      </c>
      <c r="Z338" s="345"/>
      <c r="AA338" s="347"/>
      <c r="AB338" s="345"/>
      <c r="AC338" s="345"/>
      <c r="AD338" s="345"/>
      <c r="AE338" s="68">
        <f t="shared" si="380"/>
        <v>0</v>
      </c>
      <c r="AF338" s="366" t="s">
        <v>1097</v>
      </c>
      <c r="AG338" s="358"/>
      <c r="AH338" s="359"/>
      <c r="AI338" s="360"/>
      <c r="AJ338" s="360"/>
      <c r="AK338" s="360" t="str">
        <f t="shared" si="381"/>
        <v/>
      </c>
      <c r="AL338" s="18"/>
      <c r="AM338" s="360" t="e">
        <f t="shared" si="382"/>
        <v>#VALUE!</v>
      </c>
      <c r="AN338" s="360" t="str">
        <f t="shared" si="383"/>
        <v>2</v>
      </c>
      <c r="AO338" s="360"/>
      <c r="AP338" s="346" t="str">
        <f t="shared" si="384"/>
        <v>2</v>
      </c>
      <c r="AQ338" s="360" t="e">
        <f t="shared" si="385"/>
        <v>#VALUE!</v>
      </c>
      <c r="AR338" s="530"/>
      <c r="AS338" s="360"/>
      <c r="AT338" s="362"/>
      <c r="AU338" s="362"/>
      <c r="AV338" s="362"/>
      <c r="AW338" s="362"/>
      <c r="AX338" s="362"/>
      <c r="AY338" s="362"/>
      <c r="AZ338" s="362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</row>
    <row r="339" spans="1:68" ht="20.25" customHeight="1">
      <c r="A339" s="100">
        <v>61</v>
      </c>
      <c r="B339" s="100" t="s">
        <v>53</v>
      </c>
      <c r="C339" s="100" t="s">
        <v>2234</v>
      </c>
      <c r="D339" s="102" t="s">
        <v>656</v>
      </c>
      <c r="E339" s="100" t="str">
        <f t="shared" si="300"/>
        <v>Beda</v>
      </c>
      <c r="F339" s="63">
        <f t="shared" si="375"/>
        <v>315</v>
      </c>
      <c r="G339" s="63">
        <v>7</v>
      </c>
      <c r="H339" s="64" t="s">
        <v>53</v>
      </c>
      <c r="I339" s="64" t="s">
        <v>2235</v>
      </c>
      <c r="J339" s="93">
        <v>34869.910974943399</v>
      </c>
      <c r="K339" s="533" t="s">
        <v>91</v>
      </c>
      <c r="L339" s="68">
        <f t="shared" si="376"/>
        <v>10692.42</v>
      </c>
      <c r="M339" s="63"/>
      <c r="N339" s="392" t="e">
        <f t="shared" si="377"/>
        <v>#VALUE!</v>
      </c>
      <c r="O339" s="382"/>
      <c r="P339" s="68"/>
      <c r="Q339" s="68"/>
      <c r="R339" s="68"/>
      <c r="S339" s="68">
        <f t="shared" si="378"/>
        <v>0</v>
      </c>
      <c r="T339" s="63"/>
      <c r="U339" s="347"/>
      <c r="V339" s="370"/>
      <c r="W339" s="370"/>
      <c r="X339" s="370"/>
      <c r="Y339" s="68">
        <f t="shared" si="379"/>
        <v>0</v>
      </c>
      <c r="Z339" s="345" t="s">
        <v>1076</v>
      </c>
      <c r="AA339" s="531" t="s">
        <v>657</v>
      </c>
      <c r="AB339" s="345">
        <v>10692.42</v>
      </c>
      <c r="AC339" s="345">
        <v>4684.8999999999996</v>
      </c>
      <c r="AD339" s="345"/>
      <c r="AE339" s="68">
        <f t="shared" si="380"/>
        <v>10692.42</v>
      </c>
      <c r="AF339" s="364">
        <v>2022</v>
      </c>
      <c r="AG339" s="344"/>
      <c r="AH339" s="84"/>
      <c r="AI339" s="63"/>
      <c r="AJ339" s="63"/>
      <c r="AK339" s="63" t="str">
        <f t="shared" si="381"/>
        <v>V</v>
      </c>
      <c r="AL339" s="47"/>
      <c r="AM339" s="63" t="e">
        <f t="shared" si="382"/>
        <v>#VALUE!</v>
      </c>
      <c r="AN339" s="63" t="str">
        <f t="shared" si="383"/>
        <v>2</v>
      </c>
      <c r="AO339" s="63"/>
      <c r="AP339" s="346" t="str">
        <f t="shared" si="384"/>
        <v>1</v>
      </c>
      <c r="AQ339" s="63" t="e">
        <f t="shared" si="385"/>
        <v>#VALUE!</v>
      </c>
      <c r="AR339" s="534"/>
      <c r="AS339" s="64" t="s">
        <v>657</v>
      </c>
      <c r="AT339" s="95">
        <v>34869.910000000003</v>
      </c>
      <c r="AU339" s="95">
        <v>15377.32</v>
      </c>
      <c r="AV339" s="371">
        <f>AU339/AT339</f>
        <v>0.44099110092340355</v>
      </c>
      <c r="AW339" s="378"/>
      <c r="AX339" s="377">
        <f>AW339/AT339</f>
        <v>0</v>
      </c>
      <c r="AY339" s="378"/>
      <c r="AZ339" s="377">
        <f>AY339/AT339</f>
        <v>0</v>
      </c>
      <c r="BA339" s="47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</row>
    <row r="340" spans="1:68" ht="20.25" customHeight="1">
      <c r="A340" s="100">
        <v>61</v>
      </c>
      <c r="B340" s="100" t="s">
        <v>53</v>
      </c>
      <c r="C340" s="100" t="s">
        <v>2236</v>
      </c>
      <c r="D340" s="102" t="s">
        <v>658</v>
      </c>
      <c r="E340" s="100" t="str">
        <f t="shared" si="300"/>
        <v>Sama</v>
      </c>
      <c r="F340" s="63">
        <f t="shared" si="375"/>
        <v>316</v>
      </c>
      <c r="G340" s="63">
        <v>8</v>
      </c>
      <c r="H340" s="64" t="s">
        <v>53</v>
      </c>
      <c r="I340" s="64" t="s">
        <v>658</v>
      </c>
      <c r="J340" s="93">
        <v>26670.041746095845</v>
      </c>
      <c r="K340" s="533" t="s">
        <v>104</v>
      </c>
      <c r="L340" s="68">
        <f t="shared" si="376"/>
        <v>71400</v>
      </c>
      <c r="M340" s="63"/>
      <c r="N340" s="392">
        <f t="shared" si="377"/>
        <v>2015</v>
      </c>
      <c r="O340" s="382" t="s">
        <v>1591</v>
      </c>
      <c r="P340" s="68">
        <v>71400</v>
      </c>
      <c r="Q340" s="68">
        <v>0</v>
      </c>
      <c r="R340" s="68">
        <v>71400</v>
      </c>
      <c r="S340" s="68">
        <f t="shared" si="378"/>
        <v>71400</v>
      </c>
      <c r="T340" s="63"/>
      <c r="U340" s="385" t="s">
        <v>1592</v>
      </c>
      <c r="V340" s="370">
        <v>71400</v>
      </c>
      <c r="W340" s="370">
        <v>0</v>
      </c>
      <c r="X340" s="370">
        <v>71400</v>
      </c>
      <c r="Y340" s="68">
        <f t="shared" si="379"/>
        <v>71400</v>
      </c>
      <c r="Z340" s="345"/>
      <c r="AA340" s="385"/>
      <c r="AB340" s="345"/>
      <c r="AC340" s="345"/>
      <c r="AD340" s="345"/>
      <c r="AE340" s="68">
        <f t="shared" si="380"/>
        <v>0</v>
      </c>
      <c r="AF340" s="366">
        <v>2023</v>
      </c>
      <c r="AG340" s="358" t="s">
        <v>1160</v>
      </c>
      <c r="AH340" s="359"/>
      <c r="AI340" s="360"/>
      <c r="AJ340" s="360"/>
      <c r="AK340" s="360" t="str">
        <f t="shared" si="381"/>
        <v/>
      </c>
      <c r="AL340" s="18"/>
      <c r="AM340" s="360" t="str">
        <f t="shared" si="382"/>
        <v>2</v>
      </c>
      <c r="AN340" s="360" t="str">
        <f t="shared" si="383"/>
        <v>1</v>
      </c>
      <c r="AO340" s="360"/>
      <c r="AP340" s="346" t="str">
        <f t="shared" si="384"/>
        <v>1</v>
      </c>
      <c r="AQ340" s="360" t="str">
        <f t="shared" si="385"/>
        <v>2.1..1</v>
      </c>
      <c r="AR340" s="530"/>
      <c r="AS340" s="360"/>
      <c r="AT340" s="362"/>
      <c r="AU340" s="362"/>
      <c r="AV340" s="362"/>
      <c r="AW340" s="362"/>
      <c r="AX340" s="362"/>
      <c r="AY340" s="362"/>
      <c r="AZ340" s="362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</row>
    <row r="341" spans="1:68" ht="20.25" customHeight="1">
      <c r="A341" s="100">
        <v>61</v>
      </c>
      <c r="B341" s="100" t="s">
        <v>53</v>
      </c>
      <c r="C341" s="100" t="s">
        <v>2237</v>
      </c>
      <c r="D341" s="102" t="s">
        <v>660</v>
      </c>
      <c r="E341" s="100" t="str">
        <f t="shared" si="300"/>
        <v>Sama</v>
      </c>
      <c r="F341" s="63">
        <f t="shared" si="375"/>
        <v>317</v>
      </c>
      <c r="G341" s="63">
        <v>9</v>
      </c>
      <c r="H341" s="64" t="s">
        <v>53</v>
      </c>
      <c r="I341" s="64" t="s">
        <v>660</v>
      </c>
      <c r="J341" s="93">
        <v>4018.5838334552263</v>
      </c>
      <c r="K341" s="533" t="s">
        <v>661</v>
      </c>
      <c r="L341" s="68">
        <f t="shared" si="376"/>
        <v>0</v>
      </c>
      <c r="M341" s="63"/>
      <c r="N341" s="392" t="e">
        <f t="shared" si="377"/>
        <v>#VALUE!</v>
      </c>
      <c r="O341" s="382"/>
      <c r="P341" s="68"/>
      <c r="Q341" s="68"/>
      <c r="R341" s="68"/>
      <c r="S341" s="68">
        <f t="shared" si="378"/>
        <v>0</v>
      </c>
      <c r="T341" s="63"/>
      <c r="U341" s="385"/>
      <c r="V341" s="370"/>
      <c r="W341" s="370"/>
      <c r="X341" s="370"/>
      <c r="Y341" s="68">
        <f t="shared" si="379"/>
        <v>0</v>
      </c>
      <c r="Z341" s="345"/>
      <c r="AA341" s="385"/>
      <c r="AB341" s="345"/>
      <c r="AC341" s="345"/>
      <c r="AD341" s="345"/>
      <c r="AE341" s="68">
        <f t="shared" si="380"/>
        <v>0</v>
      </c>
      <c r="AF341" s="366" t="s">
        <v>1129</v>
      </c>
      <c r="AG341" s="358" t="s">
        <v>1090</v>
      </c>
      <c r="AH341" s="359"/>
      <c r="AI341" s="360"/>
      <c r="AJ341" s="360"/>
      <c r="AK341" s="360" t="str">
        <f t="shared" si="381"/>
        <v/>
      </c>
      <c r="AL341" s="18"/>
      <c r="AM341" s="360" t="e">
        <f t="shared" si="382"/>
        <v>#VALUE!</v>
      </c>
      <c r="AN341" s="360" t="str">
        <f t="shared" si="383"/>
        <v>2</v>
      </c>
      <c r="AO341" s="360"/>
      <c r="AP341" s="346" t="str">
        <f t="shared" si="384"/>
        <v>2</v>
      </c>
      <c r="AQ341" s="360" t="e">
        <f t="shared" si="385"/>
        <v>#VALUE!</v>
      </c>
      <c r="AR341" s="530"/>
      <c r="AS341" s="360"/>
      <c r="AT341" s="362"/>
      <c r="AU341" s="362"/>
      <c r="AV341" s="362"/>
      <c r="AW341" s="362"/>
      <c r="AX341" s="362"/>
      <c r="AY341" s="362"/>
      <c r="AZ341" s="362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</row>
    <row r="342" spans="1:68" ht="20.25" customHeight="1">
      <c r="A342" s="100">
        <v>61</v>
      </c>
      <c r="B342" s="100" t="s">
        <v>53</v>
      </c>
      <c r="C342" s="100" t="s">
        <v>2238</v>
      </c>
      <c r="D342" s="102" t="s">
        <v>662</v>
      </c>
      <c r="E342" s="100" t="str">
        <f t="shared" si="300"/>
        <v>Sama</v>
      </c>
      <c r="F342" s="63">
        <f t="shared" si="375"/>
        <v>318</v>
      </c>
      <c r="G342" s="63">
        <v>10</v>
      </c>
      <c r="H342" s="64" t="s">
        <v>53</v>
      </c>
      <c r="I342" s="64" t="s">
        <v>662</v>
      </c>
      <c r="J342" s="93">
        <v>12459.755822079105</v>
      </c>
      <c r="K342" s="533" t="s">
        <v>104</v>
      </c>
      <c r="L342" s="68">
        <f t="shared" si="376"/>
        <v>11405</v>
      </c>
      <c r="M342" s="63"/>
      <c r="N342" s="392">
        <f t="shared" si="377"/>
        <v>2014</v>
      </c>
      <c r="O342" s="382" t="s">
        <v>1595</v>
      </c>
      <c r="P342" s="68">
        <v>11405</v>
      </c>
      <c r="Q342" s="68">
        <v>0</v>
      </c>
      <c r="R342" s="68">
        <v>11405</v>
      </c>
      <c r="S342" s="68">
        <f t="shared" si="378"/>
        <v>11405</v>
      </c>
      <c r="T342" s="63"/>
      <c r="U342" s="347"/>
      <c r="V342" s="370"/>
      <c r="W342" s="370"/>
      <c r="X342" s="370"/>
      <c r="Y342" s="68">
        <f t="shared" si="379"/>
        <v>0</v>
      </c>
      <c r="Z342" s="345"/>
      <c r="AA342" s="347"/>
      <c r="AB342" s="345"/>
      <c r="AC342" s="345"/>
      <c r="AD342" s="345"/>
      <c r="AE342" s="68">
        <f t="shared" si="380"/>
        <v>0</v>
      </c>
      <c r="AF342" s="366" t="s">
        <v>1129</v>
      </c>
      <c r="AG342" s="358" t="s">
        <v>1090</v>
      </c>
      <c r="AH342" s="359"/>
      <c r="AI342" s="360"/>
      <c r="AJ342" s="360"/>
      <c r="AK342" s="360" t="str">
        <f t="shared" si="381"/>
        <v/>
      </c>
      <c r="AL342" s="18"/>
      <c r="AM342" s="360" t="str">
        <f t="shared" si="382"/>
        <v>2</v>
      </c>
      <c r="AN342" s="360" t="str">
        <f t="shared" si="383"/>
        <v>1</v>
      </c>
      <c r="AO342" s="360"/>
      <c r="AP342" s="346" t="str">
        <f t="shared" si="384"/>
        <v>2</v>
      </c>
      <c r="AQ342" s="360" t="str">
        <f t="shared" si="385"/>
        <v>2.1..2</v>
      </c>
      <c r="AR342" s="530"/>
      <c r="AS342" s="360"/>
      <c r="AT342" s="362"/>
      <c r="AU342" s="362"/>
      <c r="AV342" s="362"/>
      <c r="AW342" s="362"/>
      <c r="AX342" s="362"/>
      <c r="AY342" s="362"/>
      <c r="AZ342" s="362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</row>
    <row r="343" spans="1:68" ht="20.25" customHeight="1">
      <c r="A343" s="100">
        <v>61</v>
      </c>
      <c r="B343" s="100" t="s">
        <v>53</v>
      </c>
      <c r="C343" s="100" t="s">
        <v>2239</v>
      </c>
      <c r="D343" s="102" t="s">
        <v>664</v>
      </c>
      <c r="E343" s="100" t="str">
        <f t="shared" si="300"/>
        <v>Sama</v>
      </c>
      <c r="F343" s="63">
        <f t="shared" si="375"/>
        <v>319</v>
      </c>
      <c r="G343" s="63">
        <v>11</v>
      </c>
      <c r="H343" s="64" t="s">
        <v>53</v>
      </c>
      <c r="I343" s="64" t="s">
        <v>664</v>
      </c>
      <c r="J343" s="93">
        <v>43514.29236591985</v>
      </c>
      <c r="K343" s="533" t="s">
        <v>91</v>
      </c>
      <c r="L343" s="68">
        <f t="shared" si="376"/>
        <v>43948.12</v>
      </c>
      <c r="M343" s="63"/>
      <c r="N343" s="392" t="e">
        <f t="shared" si="377"/>
        <v>#VALUE!</v>
      </c>
      <c r="O343" s="382"/>
      <c r="P343" s="68"/>
      <c r="Q343" s="68"/>
      <c r="R343" s="68"/>
      <c r="S343" s="68">
        <f t="shared" si="378"/>
        <v>0</v>
      </c>
      <c r="T343" s="63"/>
      <c r="U343" s="347" t="s">
        <v>243</v>
      </c>
      <c r="V343" s="631" t="s">
        <v>1246</v>
      </c>
      <c r="W343" s="564"/>
      <c r="X343" s="559"/>
      <c r="Y343" s="68"/>
      <c r="Z343" s="345" t="s">
        <v>1076</v>
      </c>
      <c r="AA343" s="531" t="s">
        <v>665</v>
      </c>
      <c r="AB343" s="345">
        <v>39001.17</v>
      </c>
      <c r="AC343" s="345">
        <v>4946.95</v>
      </c>
      <c r="AD343" s="345">
        <v>43948.12</v>
      </c>
      <c r="AE343" s="68">
        <f t="shared" si="380"/>
        <v>43948.12</v>
      </c>
      <c r="AF343" s="364">
        <v>2022</v>
      </c>
      <c r="AG343" s="344"/>
      <c r="AH343" s="84"/>
      <c r="AI343" s="63"/>
      <c r="AJ343" s="63"/>
      <c r="AK343" s="63" t="str">
        <f t="shared" si="381"/>
        <v>V</v>
      </c>
      <c r="AL343" s="47"/>
      <c r="AM343" s="63" t="e">
        <f t="shared" si="382"/>
        <v>#VALUE!</v>
      </c>
      <c r="AN343" s="63" t="str">
        <f t="shared" si="383"/>
        <v>2</v>
      </c>
      <c r="AO343" s="63"/>
      <c r="AP343" s="346" t="str">
        <f t="shared" si="384"/>
        <v>1</v>
      </c>
      <c r="AQ343" s="63" t="e">
        <f t="shared" si="385"/>
        <v>#VALUE!</v>
      </c>
      <c r="AR343" s="534"/>
      <c r="AS343" s="64" t="s">
        <v>2240</v>
      </c>
      <c r="AT343" s="95">
        <v>43514.29</v>
      </c>
      <c r="AU343" s="95">
        <v>43948.12</v>
      </c>
      <c r="AV343" s="371">
        <f>AU343/AT343</f>
        <v>1.0099698283023808</v>
      </c>
      <c r="AW343" s="378">
        <v>35735.97</v>
      </c>
      <c r="AX343" s="377">
        <f>AW343/AT343</f>
        <v>0.82124676744122449</v>
      </c>
      <c r="AY343" s="378">
        <v>7789.05</v>
      </c>
      <c r="AZ343" s="377">
        <f>AY343/AT343</f>
        <v>0.1789998182206351</v>
      </c>
      <c r="BA343" s="47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</row>
    <row r="344" spans="1:68" ht="20.25" customHeight="1">
      <c r="A344" s="100">
        <v>61</v>
      </c>
      <c r="B344" s="100" t="s">
        <v>53</v>
      </c>
      <c r="C344" s="100" t="s">
        <v>2241</v>
      </c>
      <c r="D344" s="102" t="s">
        <v>666</v>
      </c>
      <c r="E344" s="100" t="str">
        <f t="shared" si="300"/>
        <v>Sama</v>
      </c>
      <c r="F344" s="63">
        <f t="shared" si="375"/>
        <v>320</v>
      </c>
      <c r="G344" s="63">
        <v>12</v>
      </c>
      <c r="H344" s="64" t="s">
        <v>53</v>
      </c>
      <c r="I344" s="62" t="s">
        <v>666</v>
      </c>
      <c r="J344" s="93">
        <v>24532.634789767282</v>
      </c>
      <c r="K344" s="533" t="s">
        <v>104</v>
      </c>
      <c r="L344" s="68">
        <f t="shared" si="376"/>
        <v>0</v>
      </c>
      <c r="M344" s="63"/>
      <c r="N344" s="392" t="e">
        <f t="shared" si="377"/>
        <v>#VALUE!</v>
      </c>
      <c r="O344" s="382"/>
      <c r="P344" s="68"/>
      <c r="Q344" s="68"/>
      <c r="R344" s="68"/>
      <c r="S344" s="68">
        <f t="shared" si="378"/>
        <v>0</v>
      </c>
      <c r="T344" s="63"/>
      <c r="U344" s="347" t="s">
        <v>1598</v>
      </c>
      <c r="V344" s="370">
        <v>0</v>
      </c>
      <c r="W344" s="370">
        <v>0</v>
      </c>
      <c r="X344" s="370">
        <v>0</v>
      </c>
      <c r="Y344" s="68">
        <f t="shared" ref="Y344:Y346" si="386">IF(X344&gt;0,X344,IF(V344&gt;0,V344,0))</f>
        <v>0</v>
      </c>
      <c r="Z344" s="345"/>
      <c r="AA344" s="347"/>
      <c r="AB344" s="345"/>
      <c r="AC344" s="345"/>
      <c r="AD344" s="345"/>
      <c r="AE344" s="68">
        <f t="shared" si="380"/>
        <v>0</v>
      </c>
      <c r="AF344" s="366">
        <v>2023</v>
      </c>
      <c r="AG344" s="358" t="s">
        <v>1160</v>
      </c>
      <c r="AH344" s="359"/>
      <c r="AI344" s="360"/>
      <c r="AJ344" s="360"/>
      <c r="AK344" s="360" t="str">
        <f t="shared" si="381"/>
        <v/>
      </c>
      <c r="AL344" s="18"/>
      <c r="AM344" s="360" t="e">
        <f t="shared" si="382"/>
        <v>#VALUE!</v>
      </c>
      <c r="AN344" s="360" t="str">
        <f t="shared" si="383"/>
        <v>2</v>
      </c>
      <c r="AO344" s="360"/>
      <c r="AP344" s="346" t="str">
        <f t="shared" si="384"/>
        <v>2</v>
      </c>
      <c r="AQ344" s="360" t="e">
        <f t="shared" si="385"/>
        <v>#VALUE!</v>
      </c>
      <c r="AR344" s="530"/>
      <c r="AS344" s="360"/>
      <c r="AT344" s="362"/>
      <c r="AU344" s="362"/>
      <c r="AV344" s="362"/>
      <c r="AW344" s="362"/>
      <c r="AX344" s="362"/>
      <c r="AY344" s="362"/>
      <c r="AZ344" s="362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</row>
    <row r="345" spans="1:68" ht="20.25" customHeight="1">
      <c r="A345" s="100">
        <v>61</v>
      </c>
      <c r="B345" s="100" t="s">
        <v>53</v>
      </c>
      <c r="C345" s="100" t="s">
        <v>2242</v>
      </c>
      <c r="D345" s="102" t="s">
        <v>668</v>
      </c>
      <c r="E345" s="100" t="str">
        <f t="shared" si="300"/>
        <v>Sama</v>
      </c>
      <c r="F345" s="63">
        <f t="shared" si="375"/>
        <v>321</v>
      </c>
      <c r="G345" s="63">
        <v>13</v>
      </c>
      <c r="H345" s="64" t="s">
        <v>53</v>
      </c>
      <c r="I345" s="62" t="s">
        <v>668</v>
      </c>
      <c r="J345" s="93">
        <v>8891.3827894294482</v>
      </c>
      <c r="K345" s="533" t="s">
        <v>104</v>
      </c>
      <c r="L345" s="68">
        <f t="shared" si="376"/>
        <v>7500</v>
      </c>
      <c r="M345" s="63"/>
      <c r="N345" s="392">
        <f t="shared" si="377"/>
        <v>2015</v>
      </c>
      <c r="O345" s="382" t="s">
        <v>1591</v>
      </c>
      <c r="P345" s="68">
        <v>7500</v>
      </c>
      <c r="Q345" s="68">
        <v>0</v>
      </c>
      <c r="R345" s="68">
        <v>7500</v>
      </c>
      <c r="S345" s="68">
        <f t="shared" si="378"/>
        <v>7500</v>
      </c>
      <c r="T345" s="63"/>
      <c r="U345" s="385" t="s">
        <v>1600</v>
      </c>
      <c r="V345" s="370">
        <v>26605</v>
      </c>
      <c r="W345" s="370">
        <v>0</v>
      </c>
      <c r="X345" s="370">
        <v>26605</v>
      </c>
      <c r="Y345" s="68">
        <f t="shared" si="386"/>
        <v>26605</v>
      </c>
      <c r="Z345" s="345"/>
      <c r="AA345" s="385"/>
      <c r="AB345" s="345"/>
      <c r="AC345" s="345"/>
      <c r="AD345" s="345"/>
      <c r="AE345" s="68">
        <f t="shared" si="380"/>
        <v>0</v>
      </c>
      <c r="AF345" s="366" t="s">
        <v>1097</v>
      </c>
      <c r="AG345" s="358"/>
      <c r="AH345" s="359"/>
      <c r="AI345" s="360"/>
      <c r="AJ345" s="360"/>
      <c r="AK345" s="360" t="str">
        <f t="shared" si="381"/>
        <v/>
      </c>
      <c r="AL345" s="18"/>
      <c r="AM345" s="360" t="str">
        <f t="shared" si="382"/>
        <v>2</v>
      </c>
      <c r="AN345" s="360" t="str">
        <f t="shared" si="383"/>
        <v>1</v>
      </c>
      <c r="AO345" s="360"/>
      <c r="AP345" s="346" t="str">
        <f t="shared" si="384"/>
        <v>1</v>
      </c>
      <c r="AQ345" s="360" t="str">
        <f t="shared" si="385"/>
        <v>2.1..1</v>
      </c>
      <c r="AR345" s="530"/>
      <c r="AS345" s="360"/>
      <c r="AT345" s="362"/>
      <c r="AU345" s="362"/>
      <c r="AV345" s="362"/>
      <c r="AW345" s="362"/>
      <c r="AX345" s="362"/>
      <c r="AY345" s="362"/>
      <c r="AZ345" s="362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</row>
    <row r="346" spans="1:68" ht="20.25" customHeight="1">
      <c r="A346" s="100">
        <v>61</v>
      </c>
      <c r="B346" s="100" t="s">
        <v>53</v>
      </c>
      <c r="C346" s="100" t="s">
        <v>2243</v>
      </c>
      <c r="D346" s="102" t="s">
        <v>670</v>
      </c>
      <c r="E346" s="100" t="str">
        <f t="shared" si="300"/>
        <v>Sama</v>
      </c>
      <c r="F346" s="63">
        <f t="shared" si="375"/>
        <v>322</v>
      </c>
      <c r="G346" s="63">
        <v>14</v>
      </c>
      <c r="H346" s="64" t="s">
        <v>53</v>
      </c>
      <c r="I346" s="62" t="s">
        <v>670</v>
      </c>
      <c r="J346" s="93">
        <v>16986.450864875293</v>
      </c>
      <c r="K346" s="533" t="s">
        <v>661</v>
      </c>
      <c r="L346" s="68">
        <f t="shared" si="376"/>
        <v>0</v>
      </c>
      <c r="M346" s="63"/>
      <c r="N346" s="392" t="e">
        <f t="shared" si="377"/>
        <v>#VALUE!</v>
      </c>
      <c r="O346" s="382"/>
      <c r="P346" s="68"/>
      <c r="Q346" s="68"/>
      <c r="R346" s="68"/>
      <c r="S346" s="68">
        <f t="shared" si="378"/>
        <v>0</v>
      </c>
      <c r="T346" s="63"/>
      <c r="U346" s="385"/>
      <c r="V346" s="370"/>
      <c r="W346" s="370"/>
      <c r="X346" s="370"/>
      <c r="Y346" s="68">
        <f t="shared" si="386"/>
        <v>0</v>
      </c>
      <c r="Z346" s="345"/>
      <c r="AA346" s="385"/>
      <c r="AB346" s="345"/>
      <c r="AC346" s="345"/>
      <c r="AD346" s="345"/>
      <c r="AE346" s="68">
        <f t="shared" si="380"/>
        <v>0</v>
      </c>
      <c r="AF346" s="366" t="s">
        <v>1129</v>
      </c>
      <c r="AG346" s="358" t="s">
        <v>1090</v>
      </c>
      <c r="AH346" s="359"/>
      <c r="AI346" s="360"/>
      <c r="AJ346" s="360"/>
      <c r="AK346" s="360" t="str">
        <f t="shared" si="381"/>
        <v/>
      </c>
      <c r="AL346" s="18"/>
      <c r="AM346" s="360" t="e">
        <f t="shared" si="382"/>
        <v>#VALUE!</v>
      </c>
      <c r="AN346" s="360" t="str">
        <f t="shared" si="383"/>
        <v>2</v>
      </c>
      <c r="AO346" s="360"/>
      <c r="AP346" s="346" t="str">
        <f t="shared" si="384"/>
        <v>2</v>
      </c>
      <c r="AQ346" s="360" t="e">
        <f t="shared" si="385"/>
        <v>#VALUE!</v>
      </c>
      <c r="AR346" s="530"/>
      <c r="AS346" s="360"/>
      <c r="AT346" s="362"/>
      <c r="AU346" s="362"/>
      <c r="AV346" s="362"/>
      <c r="AW346" s="362"/>
      <c r="AX346" s="362"/>
      <c r="AY346" s="362"/>
      <c r="AZ346" s="362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</row>
    <row r="347" spans="1:68" ht="20.25" customHeight="1">
      <c r="A347" s="100">
        <v>63</v>
      </c>
      <c r="B347" s="100" t="s">
        <v>55</v>
      </c>
      <c r="C347" s="100">
        <v>63</v>
      </c>
      <c r="D347" s="102" t="s">
        <v>2244</v>
      </c>
      <c r="E347" s="100" t="str">
        <f t="shared" si="300"/>
        <v>Sama</v>
      </c>
      <c r="F347" s="63"/>
      <c r="G347" s="342"/>
      <c r="H347" s="379"/>
      <c r="I347" s="379" t="s">
        <v>2244</v>
      </c>
      <c r="J347" s="380">
        <f>SUM(J348:J360)</f>
        <v>291145.2037258179</v>
      </c>
      <c r="K347" s="353">
        <f>COUNTIF(K348:K360,"D") + COUNTIF(K348:K360,"DS")</f>
        <v>13</v>
      </c>
      <c r="L347" s="380">
        <f t="shared" ref="L347:M347" si="387">SUM(L348:L360)</f>
        <v>304060.826</v>
      </c>
      <c r="M347" s="380">
        <f t="shared" si="387"/>
        <v>0</v>
      </c>
      <c r="N347" s="386"/>
      <c r="O347" s="351">
        <f t="shared" ref="O347:Y347" si="388">SUM(O348:O360)</f>
        <v>0</v>
      </c>
      <c r="P347" s="380">
        <f t="shared" si="388"/>
        <v>335512.35599999997</v>
      </c>
      <c r="Q347" s="380">
        <f t="shared" si="388"/>
        <v>6310.82</v>
      </c>
      <c r="R347" s="380">
        <f t="shared" si="388"/>
        <v>383829.81599999999</v>
      </c>
      <c r="S347" s="380">
        <f t="shared" si="388"/>
        <v>383829.81599999999</v>
      </c>
      <c r="T347" s="380">
        <f t="shared" si="388"/>
        <v>0</v>
      </c>
      <c r="U347" s="352">
        <f t="shared" si="388"/>
        <v>0</v>
      </c>
      <c r="V347" s="380">
        <f t="shared" si="388"/>
        <v>58839</v>
      </c>
      <c r="W347" s="380">
        <f t="shared" si="388"/>
        <v>17921</v>
      </c>
      <c r="X347" s="380">
        <f t="shared" si="388"/>
        <v>76760</v>
      </c>
      <c r="Y347" s="380">
        <f t="shared" si="388"/>
        <v>76760</v>
      </c>
      <c r="Z347" s="337">
        <v>5</v>
      </c>
      <c r="AA347" s="352">
        <v>6</v>
      </c>
      <c r="AB347" s="337">
        <f t="shared" ref="AB347:AE347" si="389">SUM(AB348:AB360)</f>
        <v>159040.00999999998</v>
      </c>
      <c r="AC347" s="337">
        <f t="shared" si="389"/>
        <v>43455.56</v>
      </c>
      <c r="AD347" s="337">
        <f t="shared" si="389"/>
        <v>0</v>
      </c>
      <c r="AE347" s="380">
        <f t="shared" si="389"/>
        <v>159040.00999999998</v>
      </c>
      <c r="AF347" s="357" t="s">
        <v>1138</v>
      </c>
      <c r="AG347" s="419"/>
      <c r="AH347" s="420"/>
      <c r="AI347" s="421"/>
      <c r="AJ347" s="421"/>
      <c r="AK347" s="361">
        <f>COUNTIF(AK348:AK360,"V") + COUNTIF(AK348:AK360,"VV") + COUNTIF(AK348:AK360,"VVV")</f>
        <v>7</v>
      </c>
      <c r="AL347" s="422"/>
      <c r="AM347" s="360"/>
      <c r="AN347" s="360"/>
      <c r="AO347" s="421"/>
      <c r="AP347" s="346"/>
      <c r="AQ347" s="360"/>
      <c r="AR347" s="550"/>
      <c r="AS347" s="421"/>
      <c r="AT347" s="423"/>
      <c r="AU347" s="423"/>
      <c r="AV347" s="423"/>
      <c r="AW347" s="423"/>
      <c r="AX347" s="423"/>
      <c r="AY347" s="423"/>
      <c r="AZ347" s="423"/>
      <c r="BA347" s="422"/>
      <c r="BB347" s="422"/>
      <c r="BC347" s="422"/>
      <c r="BD347" s="422"/>
      <c r="BE347" s="422"/>
      <c r="BF347" s="422"/>
      <c r="BG347" s="422"/>
      <c r="BH347" s="422"/>
      <c r="BI347" s="422"/>
      <c r="BJ347" s="422"/>
      <c r="BK347" s="422"/>
      <c r="BL347" s="422"/>
      <c r="BM347" s="422"/>
      <c r="BN347" s="422"/>
      <c r="BO347" s="422"/>
      <c r="BP347" s="422"/>
    </row>
    <row r="348" spans="1:68" ht="20.25" customHeight="1">
      <c r="A348" s="100">
        <v>63</v>
      </c>
      <c r="B348" s="100" t="s">
        <v>55</v>
      </c>
      <c r="C348" s="100" t="s">
        <v>2245</v>
      </c>
      <c r="D348" s="102" t="s">
        <v>672</v>
      </c>
      <c r="E348" s="100" t="str">
        <f t="shared" si="300"/>
        <v>Sama</v>
      </c>
      <c r="F348" s="63">
        <f t="shared" ref="F348:F359" si="390">SUBTOTAL(3,$G$7:G348)</f>
        <v>323</v>
      </c>
      <c r="G348" s="63">
        <v>1</v>
      </c>
      <c r="H348" s="62" t="s">
        <v>55</v>
      </c>
      <c r="I348" s="62" t="s">
        <v>672</v>
      </c>
      <c r="J348" s="66">
        <v>7926.9182374032198</v>
      </c>
      <c r="K348" s="533" t="s">
        <v>91</v>
      </c>
      <c r="L348" s="68">
        <f t="shared" ref="L348:L349" si="391">IF(S348&gt;0,S348,IF(Y348&gt;0,Y348,IF(AE348&gt;0,AE348,0)))</f>
        <v>6585.7</v>
      </c>
      <c r="M348" s="63"/>
      <c r="N348" s="392" t="e">
        <f t="shared" ref="N348:N360" si="392">VALUE(RIGHT(O348,4))</f>
        <v>#VALUE!</v>
      </c>
      <c r="O348" s="382"/>
      <c r="P348" s="68"/>
      <c r="Q348" s="68"/>
      <c r="R348" s="68"/>
      <c r="S348" s="68">
        <f t="shared" ref="S348:S360" si="393">IF(R348&gt;0,R348,IF(P348&gt;0,P348,0))</f>
        <v>0</v>
      </c>
      <c r="T348" s="63"/>
      <c r="U348" s="347" t="s">
        <v>1620</v>
      </c>
      <c r="V348" s="370">
        <v>0</v>
      </c>
      <c r="W348" s="370">
        <v>0</v>
      </c>
      <c r="X348" s="370">
        <v>0</v>
      </c>
      <c r="Y348" s="68">
        <f t="shared" ref="Y348:Y360" si="394">IF(X348&gt;0,X348,IF(V348&gt;0,V348,0))</f>
        <v>0</v>
      </c>
      <c r="Z348" s="345" t="s">
        <v>1076</v>
      </c>
      <c r="AA348" s="531" t="s">
        <v>673</v>
      </c>
      <c r="AB348" s="345">
        <v>6585.7</v>
      </c>
      <c r="AC348" s="345"/>
      <c r="AD348" s="345"/>
      <c r="AE348" s="68">
        <f t="shared" ref="AE348:AE360" si="395">IF(AD348&gt;0,AD348,IF(AB348&gt;0,AB348,0))</f>
        <v>6585.7</v>
      </c>
      <c r="AF348" s="364">
        <v>2021</v>
      </c>
      <c r="AG348" s="344"/>
      <c r="AH348" s="84"/>
      <c r="AI348" s="63"/>
      <c r="AJ348" s="63"/>
      <c r="AK348" s="63" t="str">
        <f t="shared" ref="AK348:AK360" si="396">CONCATENATE(M348,T348,Z348)</f>
        <v>V</v>
      </c>
      <c r="AL348" s="47"/>
      <c r="AM348" s="63" t="e">
        <f t="shared" ref="AM348:AM360" si="397">IF(N348=0,"3",IF(N348&lt;=2018,"2","1"))</f>
        <v>#VALUE!</v>
      </c>
      <c r="AN348" s="63" t="str">
        <f t="shared" ref="AN348:AN360" si="398">IF(S348&gt;0,"1","2")</f>
        <v>2</v>
      </c>
      <c r="AO348" s="63"/>
      <c r="AP348" s="346" t="str">
        <f t="shared" ref="AP348:AP360" si="399">IF(Y348&gt;0,"1",IF(AE348&gt;0,"1","2"))</f>
        <v>1</v>
      </c>
      <c r="AQ348" s="63" t="e">
        <f t="shared" ref="AQ348:AQ360" si="400">CONCATENATE(AM348,".",AN348,".",AO348,".",AP348)</f>
        <v>#VALUE!</v>
      </c>
      <c r="AR348" s="534"/>
      <c r="AS348" s="64" t="s">
        <v>2246</v>
      </c>
      <c r="AT348" s="95">
        <v>7926.92</v>
      </c>
      <c r="AU348" s="95">
        <v>6585.7</v>
      </c>
      <c r="AV348" s="371">
        <f t="shared" ref="AV348:AV351" si="401">AU348/AT348</f>
        <v>0.83080187512930614</v>
      </c>
      <c r="AW348" s="95">
        <v>6134</v>
      </c>
      <c r="AX348" s="371"/>
      <c r="AY348" s="95">
        <v>1793</v>
      </c>
      <c r="AZ348" s="371">
        <f t="shared" ref="AZ348:AZ351" si="402">AY348/AT348</f>
        <v>0.22619125713391836</v>
      </c>
      <c r="BA348" s="47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</row>
    <row r="349" spans="1:68" ht="20.25" customHeight="1">
      <c r="A349" s="100">
        <v>63</v>
      </c>
      <c r="B349" s="100" t="s">
        <v>55</v>
      </c>
      <c r="C349" s="100" t="s">
        <v>2247</v>
      </c>
      <c r="D349" s="102" t="s">
        <v>674</v>
      </c>
      <c r="E349" s="100" t="str">
        <f t="shared" si="300"/>
        <v>Sama</v>
      </c>
      <c r="F349" s="63">
        <f t="shared" si="390"/>
        <v>324</v>
      </c>
      <c r="G349" s="63">
        <v>2</v>
      </c>
      <c r="H349" s="62" t="s">
        <v>55</v>
      </c>
      <c r="I349" s="62" t="s">
        <v>674</v>
      </c>
      <c r="J349" s="66">
        <v>50785.070924901214</v>
      </c>
      <c r="K349" s="533" t="s">
        <v>91</v>
      </c>
      <c r="L349" s="68">
        <f t="shared" si="391"/>
        <v>42006</v>
      </c>
      <c r="M349" s="63" t="s">
        <v>1076</v>
      </c>
      <c r="N349" s="392">
        <f t="shared" si="392"/>
        <v>2021</v>
      </c>
      <c r="O349" s="382" t="s">
        <v>218</v>
      </c>
      <c r="P349" s="68">
        <v>0</v>
      </c>
      <c r="Q349" s="68">
        <v>0</v>
      </c>
      <c r="R349" s="68">
        <v>42006</v>
      </c>
      <c r="S349" s="68">
        <f t="shared" si="393"/>
        <v>42006</v>
      </c>
      <c r="T349" s="63"/>
      <c r="U349" s="385" t="s">
        <v>1622</v>
      </c>
      <c r="V349" s="370">
        <v>0</v>
      </c>
      <c r="W349" s="370">
        <v>0</v>
      </c>
      <c r="X349" s="370">
        <v>0</v>
      </c>
      <c r="Y349" s="68">
        <f t="shared" si="394"/>
        <v>0</v>
      </c>
      <c r="Z349" s="345"/>
      <c r="AA349" s="385"/>
      <c r="AB349" s="345"/>
      <c r="AC349" s="345"/>
      <c r="AD349" s="345"/>
      <c r="AE349" s="68">
        <f t="shared" si="395"/>
        <v>0</v>
      </c>
      <c r="AF349" s="366">
        <v>2020</v>
      </c>
      <c r="AG349" s="358"/>
      <c r="AH349" s="359"/>
      <c r="AI349" s="360"/>
      <c r="AJ349" s="360"/>
      <c r="AK349" s="360" t="str">
        <f t="shared" si="396"/>
        <v>V</v>
      </c>
      <c r="AL349" s="18"/>
      <c r="AM349" s="360" t="str">
        <f t="shared" si="397"/>
        <v>1</v>
      </c>
      <c r="AN349" s="360" t="str">
        <f t="shared" si="398"/>
        <v>1</v>
      </c>
      <c r="AO349" s="360"/>
      <c r="AP349" s="346" t="str">
        <f t="shared" si="399"/>
        <v>2</v>
      </c>
      <c r="AQ349" s="360" t="str">
        <f t="shared" si="400"/>
        <v>1.1..2</v>
      </c>
      <c r="AR349" s="530"/>
      <c r="AS349" s="362" t="s">
        <v>218</v>
      </c>
      <c r="AT349" s="367">
        <v>50785</v>
      </c>
      <c r="AU349" s="367">
        <v>41973</v>
      </c>
      <c r="AV349" s="368">
        <f t="shared" si="401"/>
        <v>0.82648419808998719</v>
      </c>
      <c r="AW349" s="367">
        <v>31409</v>
      </c>
      <c r="AX349" s="368">
        <f>AW349/AT349</f>
        <v>0.61847002067539625</v>
      </c>
      <c r="AY349" s="367">
        <v>19376</v>
      </c>
      <c r="AZ349" s="368">
        <f t="shared" si="402"/>
        <v>0.3815299793246037</v>
      </c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</row>
    <row r="350" spans="1:68" ht="20.25" customHeight="1">
      <c r="A350" s="100">
        <v>63</v>
      </c>
      <c r="B350" s="100" t="s">
        <v>55</v>
      </c>
      <c r="C350" s="100" t="s">
        <v>2248</v>
      </c>
      <c r="D350" s="102" t="s">
        <v>675</v>
      </c>
      <c r="E350" s="100" t="str">
        <f t="shared" si="300"/>
        <v>Sama</v>
      </c>
      <c r="F350" s="63">
        <f t="shared" si="390"/>
        <v>325</v>
      </c>
      <c r="G350" s="63">
        <v>3</v>
      </c>
      <c r="H350" s="62" t="s">
        <v>55</v>
      </c>
      <c r="I350" s="62" t="s">
        <v>675</v>
      </c>
      <c r="J350" s="66">
        <v>71691.429072744009</v>
      </c>
      <c r="K350" s="533" t="s">
        <v>91</v>
      </c>
      <c r="L350" s="68">
        <f t="shared" ref="L350:L351" si="403">AE350</f>
        <v>78810.490000000005</v>
      </c>
      <c r="M350" s="63"/>
      <c r="N350" s="392">
        <f t="shared" si="392"/>
        <v>2012</v>
      </c>
      <c r="O350" s="382" t="s">
        <v>843</v>
      </c>
      <c r="P350" s="68">
        <v>120000</v>
      </c>
      <c r="Q350" s="68">
        <v>0</v>
      </c>
      <c r="R350" s="68">
        <v>120000</v>
      </c>
      <c r="S350" s="68">
        <f t="shared" si="393"/>
        <v>120000</v>
      </c>
      <c r="T350" s="63"/>
      <c r="U350" s="385"/>
      <c r="V350" s="370"/>
      <c r="W350" s="370"/>
      <c r="X350" s="370"/>
      <c r="Y350" s="68">
        <f t="shared" si="394"/>
        <v>0</v>
      </c>
      <c r="Z350" s="345" t="s">
        <v>1076</v>
      </c>
      <c r="AA350" s="385" t="s">
        <v>676</v>
      </c>
      <c r="AB350" s="345">
        <v>78810.490000000005</v>
      </c>
      <c r="AC350" s="345">
        <v>35444.980000000003</v>
      </c>
      <c r="AD350" s="345"/>
      <c r="AE350" s="68">
        <f t="shared" si="395"/>
        <v>78810.490000000005</v>
      </c>
      <c r="AF350" s="364">
        <v>2021</v>
      </c>
      <c r="AG350" s="344"/>
      <c r="AH350" s="84"/>
      <c r="AI350" s="63"/>
      <c r="AJ350" s="63"/>
      <c r="AK350" s="63" t="str">
        <f t="shared" si="396"/>
        <v>V</v>
      </c>
      <c r="AL350" s="47"/>
      <c r="AM350" s="63" t="str">
        <f t="shared" si="397"/>
        <v>2</v>
      </c>
      <c r="AN350" s="63" t="str">
        <f t="shared" si="398"/>
        <v>1</v>
      </c>
      <c r="AO350" s="63"/>
      <c r="AP350" s="346" t="str">
        <f t="shared" si="399"/>
        <v>1</v>
      </c>
      <c r="AQ350" s="63" t="str">
        <f t="shared" si="400"/>
        <v>2.1..1</v>
      </c>
      <c r="AR350" s="534"/>
      <c r="AS350" s="64" t="s">
        <v>2249</v>
      </c>
      <c r="AT350" s="95">
        <v>71691.429999999993</v>
      </c>
      <c r="AU350" s="95">
        <v>114255.47</v>
      </c>
      <c r="AV350" s="371">
        <f t="shared" si="401"/>
        <v>1.5937116891098422</v>
      </c>
      <c r="AW350" s="95">
        <v>58270</v>
      </c>
      <c r="AX350" s="371"/>
      <c r="AY350" s="95">
        <v>13421</v>
      </c>
      <c r="AZ350" s="371">
        <f t="shared" si="402"/>
        <v>0.18720508155577315</v>
      </c>
      <c r="BA350" s="47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</row>
    <row r="351" spans="1:68" ht="20.25" customHeight="1">
      <c r="A351" s="100">
        <v>63</v>
      </c>
      <c r="B351" s="100" t="s">
        <v>55</v>
      </c>
      <c r="C351" s="100" t="s">
        <v>2250</v>
      </c>
      <c r="D351" s="102" t="s">
        <v>677</v>
      </c>
      <c r="E351" s="100" t="str">
        <f t="shared" si="300"/>
        <v>Sama</v>
      </c>
      <c r="F351" s="63">
        <f t="shared" si="390"/>
        <v>326</v>
      </c>
      <c r="G351" s="63">
        <v>4</v>
      </c>
      <c r="H351" s="62" t="s">
        <v>55</v>
      </c>
      <c r="I351" s="62" t="s">
        <v>677</v>
      </c>
      <c r="J351" s="66">
        <v>27976.061664474415</v>
      </c>
      <c r="K351" s="533" t="s">
        <v>91</v>
      </c>
      <c r="L351" s="68">
        <f t="shared" si="403"/>
        <v>20247.03</v>
      </c>
      <c r="M351" s="63"/>
      <c r="N351" s="392">
        <f t="shared" si="392"/>
        <v>2014</v>
      </c>
      <c r="O351" s="382" t="s">
        <v>729</v>
      </c>
      <c r="P351" s="68">
        <v>27168</v>
      </c>
      <c r="Q351" s="68">
        <v>3630</v>
      </c>
      <c r="R351" s="68">
        <v>30798</v>
      </c>
      <c r="S351" s="68">
        <f t="shared" si="393"/>
        <v>30798</v>
      </c>
      <c r="T351" s="63"/>
      <c r="U351" s="385"/>
      <c r="V351" s="370"/>
      <c r="W351" s="370"/>
      <c r="X351" s="370"/>
      <c r="Y351" s="68">
        <f t="shared" si="394"/>
        <v>0</v>
      </c>
      <c r="Z351" s="345" t="s">
        <v>1076</v>
      </c>
      <c r="AA351" s="385" t="s">
        <v>678</v>
      </c>
      <c r="AB351" s="345">
        <v>20247.03</v>
      </c>
      <c r="AC351" s="345">
        <v>2047.81</v>
      </c>
      <c r="AD351" s="345"/>
      <c r="AE351" s="68">
        <f t="shared" si="395"/>
        <v>20247.03</v>
      </c>
      <c r="AF351" s="364">
        <v>2021</v>
      </c>
      <c r="AG351" s="344"/>
      <c r="AH351" s="84"/>
      <c r="AI351" s="63"/>
      <c r="AJ351" s="63"/>
      <c r="AK351" s="63" t="str">
        <f t="shared" si="396"/>
        <v>V</v>
      </c>
      <c r="AL351" s="47"/>
      <c r="AM351" s="63" t="str">
        <f t="shared" si="397"/>
        <v>2</v>
      </c>
      <c r="AN351" s="63" t="str">
        <f t="shared" si="398"/>
        <v>1</v>
      </c>
      <c r="AO351" s="63"/>
      <c r="AP351" s="346" t="str">
        <f t="shared" si="399"/>
        <v>1</v>
      </c>
      <c r="AQ351" s="63" t="str">
        <f t="shared" si="400"/>
        <v>2.1..1</v>
      </c>
      <c r="AR351" s="534"/>
      <c r="AS351" s="64" t="s">
        <v>2251</v>
      </c>
      <c r="AT351" s="95">
        <v>27976.06</v>
      </c>
      <c r="AU351" s="95">
        <v>22294.84</v>
      </c>
      <c r="AV351" s="371">
        <f t="shared" si="401"/>
        <v>0.79692565715114994</v>
      </c>
      <c r="AW351" s="95">
        <v>20023</v>
      </c>
      <c r="AX351" s="371"/>
      <c r="AY351" s="95">
        <v>7953</v>
      </c>
      <c r="AZ351" s="371">
        <f t="shared" si="402"/>
        <v>0.28427877263631834</v>
      </c>
      <c r="BA351" s="47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</row>
    <row r="352" spans="1:68" ht="20.25" customHeight="1">
      <c r="A352" s="100">
        <v>63</v>
      </c>
      <c r="B352" s="100" t="s">
        <v>55</v>
      </c>
      <c r="C352" s="100" t="s">
        <v>2252</v>
      </c>
      <c r="D352" s="102" t="s">
        <v>679</v>
      </c>
      <c r="E352" s="100" t="str">
        <f t="shared" si="300"/>
        <v>Sama</v>
      </c>
      <c r="F352" s="63">
        <f t="shared" si="390"/>
        <v>327</v>
      </c>
      <c r="G352" s="63">
        <v>5</v>
      </c>
      <c r="H352" s="62" t="s">
        <v>55</v>
      </c>
      <c r="I352" s="62" t="s">
        <v>679</v>
      </c>
      <c r="J352" s="66">
        <v>26368.409121432433</v>
      </c>
      <c r="K352" s="533" t="s">
        <v>104</v>
      </c>
      <c r="L352" s="68">
        <f t="shared" ref="L352:L358" si="404">IF(S352&gt;0,S352,IF(Y352&gt;0,Y352,IF(AE352&gt;0,AE352,0)))</f>
        <v>43600</v>
      </c>
      <c r="M352" s="63"/>
      <c r="N352" s="392">
        <f t="shared" si="392"/>
        <v>2016</v>
      </c>
      <c r="O352" s="382" t="s">
        <v>680</v>
      </c>
      <c r="P352" s="68">
        <v>43600</v>
      </c>
      <c r="Q352" s="68">
        <v>0</v>
      </c>
      <c r="R352" s="68">
        <v>43600</v>
      </c>
      <c r="S352" s="68">
        <f t="shared" si="393"/>
        <v>43600</v>
      </c>
      <c r="T352" s="63"/>
      <c r="U352" s="385" t="s">
        <v>1626</v>
      </c>
      <c r="V352" s="370">
        <v>29000</v>
      </c>
      <c r="W352" s="370">
        <v>9470</v>
      </c>
      <c r="X352" s="370">
        <v>38470</v>
      </c>
      <c r="Y352" s="68">
        <f t="shared" si="394"/>
        <v>38470</v>
      </c>
      <c r="Z352" s="345"/>
      <c r="AA352" s="385"/>
      <c r="AB352" s="345"/>
      <c r="AC352" s="345"/>
      <c r="AD352" s="345"/>
      <c r="AE352" s="68">
        <f t="shared" si="395"/>
        <v>0</v>
      </c>
      <c r="AF352" s="366" t="s">
        <v>1097</v>
      </c>
      <c r="AG352" s="358"/>
      <c r="AH352" s="359"/>
      <c r="AI352" s="360"/>
      <c r="AJ352" s="360"/>
      <c r="AK352" s="360" t="str">
        <f t="shared" si="396"/>
        <v/>
      </c>
      <c r="AL352" s="18"/>
      <c r="AM352" s="360" t="str">
        <f t="shared" si="397"/>
        <v>2</v>
      </c>
      <c r="AN352" s="360" t="str">
        <f t="shared" si="398"/>
        <v>1</v>
      </c>
      <c r="AO352" s="360"/>
      <c r="AP352" s="346" t="str">
        <f t="shared" si="399"/>
        <v>1</v>
      </c>
      <c r="AQ352" s="360" t="str">
        <f t="shared" si="400"/>
        <v>2.1..1</v>
      </c>
      <c r="AR352" s="530"/>
      <c r="AS352" s="360"/>
      <c r="AT352" s="362"/>
      <c r="AU352" s="362"/>
      <c r="AV352" s="362"/>
      <c r="AW352" s="362"/>
      <c r="AX352" s="362"/>
      <c r="AY352" s="362"/>
      <c r="AZ352" s="362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</row>
    <row r="353" spans="1:68" ht="20.25" customHeight="1">
      <c r="A353" s="100">
        <v>63</v>
      </c>
      <c r="B353" s="100" t="s">
        <v>55</v>
      </c>
      <c r="C353" s="100" t="s">
        <v>2253</v>
      </c>
      <c r="D353" s="102" t="s">
        <v>681</v>
      </c>
      <c r="E353" s="100" t="str">
        <f t="shared" si="300"/>
        <v>Sama</v>
      </c>
      <c r="F353" s="63">
        <f t="shared" si="390"/>
        <v>328</v>
      </c>
      <c r="G353" s="63">
        <v>6</v>
      </c>
      <c r="H353" s="62" t="s">
        <v>55</v>
      </c>
      <c r="I353" s="62" t="s">
        <v>681</v>
      </c>
      <c r="J353" s="66">
        <v>22353.349017710734</v>
      </c>
      <c r="K353" s="533" t="s">
        <v>104</v>
      </c>
      <c r="L353" s="68">
        <f t="shared" si="404"/>
        <v>23359</v>
      </c>
      <c r="M353" s="63"/>
      <c r="N353" s="392">
        <f t="shared" si="392"/>
        <v>2012</v>
      </c>
      <c r="O353" s="382" t="s">
        <v>682</v>
      </c>
      <c r="P353" s="68">
        <v>23359</v>
      </c>
      <c r="Q353" s="68">
        <v>0</v>
      </c>
      <c r="R353" s="68">
        <v>23359</v>
      </c>
      <c r="S353" s="68">
        <f t="shared" si="393"/>
        <v>23359</v>
      </c>
      <c r="T353" s="63"/>
      <c r="U353" s="385" t="s">
        <v>1628</v>
      </c>
      <c r="V353" s="370">
        <v>14908</v>
      </c>
      <c r="W353" s="370">
        <v>8451</v>
      </c>
      <c r="X353" s="370">
        <v>23359</v>
      </c>
      <c r="Y353" s="68">
        <f t="shared" si="394"/>
        <v>23359</v>
      </c>
      <c r="Z353" s="345"/>
      <c r="AA353" s="385"/>
      <c r="AB353" s="345"/>
      <c r="AC353" s="345"/>
      <c r="AD353" s="345"/>
      <c r="AE353" s="68">
        <f t="shared" si="395"/>
        <v>0</v>
      </c>
      <c r="AF353" s="366" t="s">
        <v>1097</v>
      </c>
      <c r="AG353" s="358"/>
      <c r="AH353" s="359"/>
      <c r="AI353" s="360"/>
      <c r="AJ353" s="360"/>
      <c r="AK353" s="360" t="str">
        <f t="shared" si="396"/>
        <v/>
      </c>
      <c r="AL353" s="18"/>
      <c r="AM353" s="360" t="str">
        <f t="shared" si="397"/>
        <v>2</v>
      </c>
      <c r="AN353" s="360" t="str">
        <f t="shared" si="398"/>
        <v>1</v>
      </c>
      <c r="AO353" s="360"/>
      <c r="AP353" s="346" t="str">
        <f t="shared" si="399"/>
        <v>1</v>
      </c>
      <c r="AQ353" s="360" t="str">
        <f t="shared" si="400"/>
        <v>2.1..1</v>
      </c>
      <c r="AR353" s="530"/>
      <c r="AS353" s="360"/>
      <c r="AT353" s="362"/>
      <c r="AU353" s="362"/>
      <c r="AV353" s="362"/>
      <c r="AW353" s="362"/>
      <c r="AX353" s="362"/>
      <c r="AY353" s="362"/>
      <c r="AZ353" s="362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</row>
    <row r="354" spans="1:68" ht="20.25" customHeight="1">
      <c r="A354" s="100">
        <v>63</v>
      </c>
      <c r="B354" s="100" t="s">
        <v>55</v>
      </c>
      <c r="C354" s="100" t="s">
        <v>2254</v>
      </c>
      <c r="D354" s="102" t="s">
        <v>683</v>
      </c>
      <c r="E354" s="100" t="str">
        <f t="shared" si="300"/>
        <v>Sama</v>
      </c>
      <c r="F354" s="63">
        <f t="shared" si="390"/>
        <v>329</v>
      </c>
      <c r="G354" s="63">
        <v>7</v>
      </c>
      <c r="H354" s="62" t="s">
        <v>55</v>
      </c>
      <c r="I354" s="62" t="s">
        <v>683</v>
      </c>
      <c r="J354" s="66">
        <v>1702.428174804031</v>
      </c>
      <c r="K354" s="533" t="s">
        <v>104</v>
      </c>
      <c r="L354" s="68">
        <f t="shared" si="404"/>
        <v>1000</v>
      </c>
      <c r="M354" s="63"/>
      <c r="N354" s="392" t="e">
        <f t="shared" si="392"/>
        <v>#VALUE!</v>
      </c>
      <c r="O354" s="382"/>
      <c r="P354" s="68"/>
      <c r="Q354" s="68"/>
      <c r="R354" s="68"/>
      <c r="S354" s="68">
        <f t="shared" si="393"/>
        <v>0</v>
      </c>
      <c r="T354" s="63"/>
      <c r="U354" s="385"/>
      <c r="V354" s="370"/>
      <c r="W354" s="370"/>
      <c r="X354" s="370"/>
      <c r="Y354" s="68">
        <f t="shared" si="394"/>
        <v>0</v>
      </c>
      <c r="Z354" s="345"/>
      <c r="AA354" s="541" t="s">
        <v>684</v>
      </c>
      <c r="AB354" s="345">
        <v>1000</v>
      </c>
      <c r="AC354" s="345"/>
      <c r="AD354" s="345"/>
      <c r="AE354" s="68">
        <f t="shared" si="395"/>
        <v>1000</v>
      </c>
      <c r="AF354" s="366" t="s">
        <v>1097</v>
      </c>
      <c r="AG354" s="358"/>
      <c r="AH354" s="359"/>
      <c r="AI354" s="360"/>
      <c r="AJ354" s="360"/>
      <c r="AK354" s="360" t="str">
        <f t="shared" si="396"/>
        <v/>
      </c>
      <c r="AL354" s="18"/>
      <c r="AM354" s="360" t="e">
        <f t="shared" si="397"/>
        <v>#VALUE!</v>
      </c>
      <c r="AN354" s="360" t="str">
        <f t="shared" si="398"/>
        <v>2</v>
      </c>
      <c r="AO354" s="360"/>
      <c r="AP354" s="346" t="str">
        <f t="shared" si="399"/>
        <v>1</v>
      </c>
      <c r="AQ354" s="360" t="e">
        <f t="shared" si="400"/>
        <v>#VALUE!</v>
      </c>
      <c r="AR354" s="530"/>
      <c r="AS354" s="360"/>
      <c r="AT354" s="362"/>
      <c r="AU354" s="362"/>
      <c r="AV354" s="362"/>
      <c r="AW354" s="362"/>
      <c r="AX354" s="362"/>
      <c r="AY354" s="362"/>
      <c r="AZ354" s="362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</row>
    <row r="355" spans="1:68" ht="20.25" customHeight="1">
      <c r="A355" s="100">
        <v>63</v>
      </c>
      <c r="B355" s="100" t="s">
        <v>55</v>
      </c>
      <c r="C355" s="100" t="s">
        <v>2255</v>
      </c>
      <c r="D355" s="102" t="s">
        <v>685</v>
      </c>
      <c r="E355" s="100" t="str">
        <f t="shared" si="300"/>
        <v>Sama</v>
      </c>
      <c r="F355" s="63">
        <f t="shared" si="390"/>
        <v>330</v>
      </c>
      <c r="G355" s="63">
        <v>8</v>
      </c>
      <c r="H355" s="62" t="s">
        <v>55</v>
      </c>
      <c r="I355" s="62" t="s">
        <v>685</v>
      </c>
      <c r="J355" s="66">
        <v>2653.2810994298029</v>
      </c>
      <c r="K355" s="533" t="s">
        <v>104</v>
      </c>
      <c r="L355" s="68">
        <f t="shared" si="404"/>
        <v>5</v>
      </c>
      <c r="M355" s="63"/>
      <c r="N355" s="392">
        <f t="shared" si="392"/>
        <v>2013</v>
      </c>
      <c r="O355" s="382" t="s">
        <v>915</v>
      </c>
      <c r="P355" s="68">
        <v>5</v>
      </c>
      <c r="Q355" s="68">
        <v>0</v>
      </c>
      <c r="R355" s="68">
        <v>5</v>
      </c>
      <c r="S355" s="68">
        <f t="shared" si="393"/>
        <v>5</v>
      </c>
      <c r="T355" s="63"/>
      <c r="U355" s="385" t="s">
        <v>1479</v>
      </c>
      <c r="V355" s="370">
        <v>0</v>
      </c>
      <c r="W355" s="370">
        <v>0</v>
      </c>
      <c r="X355" s="370">
        <v>0</v>
      </c>
      <c r="Y355" s="68">
        <f t="shared" si="394"/>
        <v>0</v>
      </c>
      <c r="Z355" s="345"/>
      <c r="AA355" s="385"/>
      <c r="AB355" s="345"/>
      <c r="AC355" s="345"/>
      <c r="AD355" s="345"/>
      <c r="AE355" s="68">
        <f t="shared" si="395"/>
        <v>0</v>
      </c>
      <c r="AF355" s="366" t="s">
        <v>1097</v>
      </c>
      <c r="AG355" s="358"/>
      <c r="AH355" s="359"/>
      <c r="AI355" s="360"/>
      <c r="AJ355" s="360"/>
      <c r="AK355" s="360" t="str">
        <f t="shared" si="396"/>
        <v/>
      </c>
      <c r="AL355" s="18"/>
      <c r="AM355" s="360" t="str">
        <f t="shared" si="397"/>
        <v>2</v>
      </c>
      <c r="AN355" s="360" t="str">
        <f t="shared" si="398"/>
        <v>1</v>
      </c>
      <c r="AO355" s="360"/>
      <c r="AP355" s="346" t="str">
        <f t="shared" si="399"/>
        <v>2</v>
      </c>
      <c r="AQ355" s="360" t="str">
        <f t="shared" si="400"/>
        <v>2.1..2</v>
      </c>
      <c r="AR355" s="530"/>
      <c r="AS355" s="360"/>
      <c r="AT355" s="362"/>
      <c r="AU355" s="362"/>
      <c r="AV355" s="362"/>
      <c r="AW355" s="362"/>
      <c r="AX355" s="362"/>
      <c r="AY355" s="362"/>
      <c r="AZ355" s="362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</row>
    <row r="356" spans="1:68" ht="20.25" customHeight="1">
      <c r="A356" s="100">
        <v>63</v>
      </c>
      <c r="B356" s="100" t="s">
        <v>55</v>
      </c>
      <c r="C356" s="100" t="s">
        <v>2256</v>
      </c>
      <c r="D356" s="102" t="s">
        <v>686</v>
      </c>
      <c r="E356" s="100" t="str">
        <f t="shared" si="300"/>
        <v>Sama</v>
      </c>
      <c r="F356" s="63">
        <f t="shared" si="390"/>
        <v>331</v>
      </c>
      <c r="G356" s="63">
        <v>9</v>
      </c>
      <c r="H356" s="62" t="s">
        <v>55</v>
      </c>
      <c r="I356" s="62" t="s">
        <v>686</v>
      </c>
      <c r="J356" s="66">
        <v>5744.5182117693466</v>
      </c>
      <c r="K356" s="533" t="s">
        <v>104</v>
      </c>
      <c r="L356" s="68">
        <f t="shared" si="404"/>
        <v>19513</v>
      </c>
      <c r="M356" s="63"/>
      <c r="N356" s="392">
        <f t="shared" si="392"/>
        <v>2012</v>
      </c>
      <c r="O356" s="382" t="s">
        <v>323</v>
      </c>
      <c r="P356" s="68">
        <v>19513</v>
      </c>
      <c r="Q356" s="68">
        <v>0</v>
      </c>
      <c r="R356" s="68">
        <v>19513</v>
      </c>
      <c r="S356" s="68">
        <f t="shared" si="393"/>
        <v>19513</v>
      </c>
      <c r="T356" s="63"/>
      <c r="U356" s="347"/>
      <c r="V356" s="370"/>
      <c r="W356" s="370"/>
      <c r="X356" s="370"/>
      <c r="Y356" s="68">
        <f t="shared" si="394"/>
        <v>0</v>
      </c>
      <c r="Z356" s="345"/>
      <c r="AA356" s="347"/>
      <c r="AB356" s="345"/>
      <c r="AC356" s="345"/>
      <c r="AD356" s="345"/>
      <c r="AE356" s="68">
        <f t="shared" si="395"/>
        <v>0</v>
      </c>
      <c r="AF356" s="366" t="s">
        <v>1097</v>
      </c>
      <c r="AG356" s="358"/>
      <c r="AH356" s="359"/>
      <c r="AI356" s="360"/>
      <c r="AJ356" s="360"/>
      <c r="AK356" s="360" t="str">
        <f t="shared" si="396"/>
        <v/>
      </c>
      <c r="AL356" s="18"/>
      <c r="AM356" s="360" t="str">
        <f t="shared" si="397"/>
        <v>2</v>
      </c>
      <c r="AN356" s="360" t="str">
        <f t="shared" si="398"/>
        <v>1</v>
      </c>
      <c r="AO356" s="360"/>
      <c r="AP356" s="346" t="str">
        <f t="shared" si="399"/>
        <v>2</v>
      </c>
      <c r="AQ356" s="360" t="str">
        <f t="shared" si="400"/>
        <v>2.1..2</v>
      </c>
      <c r="AR356" s="530"/>
      <c r="AS356" s="360"/>
      <c r="AT356" s="362"/>
      <c r="AU356" s="362"/>
      <c r="AV356" s="362"/>
      <c r="AW356" s="362"/>
      <c r="AX356" s="362"/>
      <c r="AY356" s="362"/>
      <c r="AZ356" s="362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</row>
    <row r="357" spans="1:68" ht="20.25" customHeight="1">
      <c r="A357" s="100">
        <v>63</v>
      </c>
      <c r="B357" s="100" t="s">
        <v>55</v>
      </c>
      <c r="C357" s="100" t="s">
        <v>2257</v>
      </c>
      <c r="D357" s="102" t="s">
        <v>687</v>
      </c>
      <c r="E357" s="100" t="str">
        <f t="shared" si="300"/>
        <v>Sama</v>
      </c>
      <c r="F357" s="63">
        <f t="shared" si="390"/>
        <v>332</v>
      </c>
      <c r="G357" s="63">
        <v>10</v>
      </c>
      <c r="H357" s="62" t="s">
        <v>55</v>
      </c>
      <c r="I357" s="62" t="s">
        <v>687</v>
      </c>
      <c r="J357" s="66">
        <v>9496.6372399532211</v>
      </c>
      <c r="K357" s="533" t="s">
        <v>91</v>
      </c>
      <c r="L357" s="68">
        <f t="shared" si="404"/>
        <v>6653.03</v>
      </c>
      <c r="M357" s="63"/>
      <c r="N357" s="392" t="e">
        <f t="shared" si="392"/>
        <v>#VALUE!</v>
      </c>
      <c r="O357" s="382"/>
      <c r="P357" s="68"/>
      <c r="Q357" s="68"/>
      <c r="R357" s="68"/>
      <c r="S357" s="68">
        <f t="shared" si="393"/>
        <v>0</v>
      </c>
      <c r="T357" s="63"/>
      <c r="U357" s="347"/>
      <c r="V357" s="370"/>
      <c r="W357" s="370"/>
      <c r="X357" s="370"/>
      <c r="Y357" s="68">
        <f t="shared" si="394"/>
        <v>0</v>
      </c>
      <c r="Z357" s="345" t="s">
        <v>1076</v>
      </c>
      <c r="AA357" s="347" t="s">
        <v>688</v>
      </c>
      <c r="AB357" s="345">
        <v>6653.03</v>
      </c>
      <c r="AC357" s="345"/>
      <c r="AD357" s="345"/>
      <c r="AE357" s="68">
        <f t="shared" si="395"/>
        <v>6653.03</v>
      </c>
      <c r="AF357" s="364">
        <v>2021</v>
      </c>
      <c r="AG357" s="344"/>
      <c r="AH357" s="84"/>
      <c r="AI357" s="63"/>
      <c r="AJ357" s="63"/>
      <c r="AK357" s="63" t="str">
        <f t="shared" si="396"/>
        <v>V</v>
      </c>
      <c r="AL357" s="47"/>
      <c r="AM357" s="63" t="e">
        <f t="shared" si="397"/>
        <v>#VALUE!</v>
      </c>
      <c r="AN357" s="63" t="str">
        <f t="shared" si="398"/>
        <v>2</v>
      </c>
      <c r="AO357" s="63"/>
      <c r="AP357" s="346" t="str">
        <f t="shared" si="399"/>
        <v>1</v>
      </c>
      <c r="AQ357" s="63" t="e">
        <f t="shared" si="400"/>
        <v>#VALUE!</v>
      </c>
      <c r="AR357" s="534"/>
      <c r="AS357" s="64" t="s">
        <v>2258</v>
      </c>
      <c r="AT357" s="95">
        <v>9496.64</v>
      </c>
      <c r="AU357" s="95">
        <v>6653.03</v>
      </c>
      <c r="AV357" s="371">
        <f>AU357/AT357</f>
        <v>0.7005667267580955</v>
      </c>
      <c r="AW357" s="95">
        <v>6299</v>
      </c>
      <c r="AX357" s="371"/>
      <c r="AY357" s="95">
        <v>3198</v>
      </c>
      <c r="AZ357" s="371">
        <f>AY357/AT357</f>
        <v>0.33675068234659838</v>
      </c>
      <c r="BA357" s="47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</row>
    <row r="358" spans="1:68" ht="20.25" customHeight="1">
      <c r="A358" s="100">
        <v>63</v>
      </c>
      <c r="B358" s="100" t="s">
        <v>55</v>
      </c>
      <c r="C358" s="100" t="s">
        <v>2259</v>
      </c>
      <c r="D358" s="102" t="s">
        <v>689</v>
      </c>
      <c r="E358" s="100" t="str">
        <f t="shared" si="300"/>
        <v>Sama</v>
      </c>
      <c r="F358" s="63">
        <f t="shared" si="390"/>
        <v>333</v>
      </c>
      <c r="G358" s="63">
        <v>11</v>
      </c>
      <c r="H358" s="62" t="s">
        <v>55</v>
      </c>
      <c r="I358" s="62" t="s">
        <v>689</v>
      </c>
      <c r="J358" s="66">
        <v>8928.3094543521038</v>
      </c>
      <c r="K358" s="533" t="s">
        <v>104</v>
      </c>
      <c r="L358" s="68">
        <f t="shared" si="404"/>
        <v>16537.815999999999</v>
      </c>
      <c r="M358" s="63"/>
      <c r="N358" s="392">
        <f t="shared" si="392"/>
        <v>2017</v>
      </c>
      <c r="O358" s="382" t="s">
        <v>1140</v>
      </c>
      <c r="P358" s="68">
        <v>16537.815999999999</v>
      </c>
      <c r="Q358" s="68">
        <v>0</v>
      </c>
      <c r="R358" s="68">
        <v>16537.815999999999</v>
      </c>
      <c r="S358" s="68">
        <f t="shared" si="393"/>
        <v>16537.815999999999</v>
      </c>
      <c r="T358" s="63"/>
      <c r="U358" s="385" t="s">
        <v>1634</v>
      </c>
      <c r="V358" s="370">
        <v>14931</v>
      </c>
      <c r="W358" s="370">
        <v>0</v>
      </c>
      <c r="X358" s="370">
        <v>14931</v>
      </c>
      <c r="Y358" s="68">
        <f t="shared" si="394"/>
        <v>14931</v>
      </c>
      <c r="Z358" s="345"/>
      <c r="AA358" s="385"/>
      <c r="AB358" s="345"/>
      <c r="AC358" s="345"/>
      <c r="AD358" s="345"/>
      <c r="AE358" s="68">
        <f t="shared" si="395"/>
        <v>0</v>
      </c>
      <c r="AF358" s="366" t="s">
        <v>1097</v>
      </c>
      <c r="AG358" s="358"/>
      <c r="AH358" s="359"/>
      <c r="AI358" s="360"/>
      <c r="AJ358" s="360"/>
      <c r="AK358" s="360" t="str">
        <f t="shared" si="396"/>
        <v/>
      </c>
      <c r="AL358" s="18"/>
      <c r="AM358" s="360" t="str">
        <f t="shared" si="397"/>
        <v>2</v>
      </c>
      <c r="AN358" s="360" t="str">
        <f t="shared" si="398"/>
        <v>1</v>
      </c>
      <c r="AO358" s="360"/>
      <c r="AP358" s="346" t="str">
        <f t="shared" si="399"/>
        <v>1</v>
      </c>
      <c r="AQ358" s="360" t="str">
        <f t="shared" si="400"/>
        <v>2.1..1</v>
      </c>
      <c r="AR358" s="530"/>
      <c r="AS358" s="360"/>
      <c r="AT358" s="362"/>
      <c r="AU358" s="362"/>
      <c r="AV358" s="362"/>
      <c r="AW358" s="362"/>
      <c r="AX358" s="362"/>
      <c r="AY358" s="362"/>
      <c r="AZ358" s="362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</row>
    <row r="359" spans="1:68" ht="20.25" customHeight="1">
      <c r="A359" s="100">
        <v>63</v>
      </c>
      <c r="B359" s="100" t="s">
        <v>55</v>
      </c>
      <c r="C359" s="100" t="s">
        <v>2260</v>
      </c>
      <c r="D359" s="102" t="s">
        <v>690</v>
      </c>
      <c r="E359" s="100" t="str">
        <f t="shared" si="300"/>
        <v>Sama</v>
      </c>
      <c r="F359" s="63">
        <f t="shared" si="390"/>
        <v>334</v>
      </c>
      <c r="G359" s="63">
        <v>12</v>
      </c>
      <c r="H359" s="62" t="s">
        <v>55</v>
      </c>
      <c r="I359" s="62" t="s">
        <v>690</v>
      </c>
      <c r="J359" s="66">
        <v>24295.990933070618</v>
      </c>
      <c r="K359" s="533" t="s">
        <v>91</v>
      </c>
      <c r="L359" s="68">
        <f t="shared" ref="L359:L360" si="405">AE359</f>
        <v>20315.52</v>
      </c>
      <c r="M359" s="63"/>
      <c r="N359" s="392">
        <f t="shared" si="392"/>
        <v>2016</v>
      </c>
      <c r="O359" s="382" t="s">
        <v>926</v>
      </c>
      <c r="P359" s="68">
        <v>39425.54</v>
      </c>
      <c r="Q359" s="68">
        <v>2680.82</v>
      </c>
      <c r="R359" s="68">
        <v>42107</v>
      </c>
      <c r="S359" s="68">
        <f t="shared" si="393"/>
        <v>42107</v>
      </c>
      <c r="T359" s="63"/>
      <c r="U359" s="385"/>
      <c r="V359" s="370"/>
      <c r="W359" s="370"/>
      <c r="X359" s="370"/>
      <c r="Y359" s="68">
        <f t="shared" si="394"/>
        <v>0</v>
      </c>
      <c r="Z359" s="345" t="s">
        <v>1076</v>
      </c>
      <c r="AA359" s="385" t="s">
        <v>1636</v>
      </c>
      <c r="AB359" s="345">
        <v>20315.52</v>
      </c>
      <c r="AC359" s="345">
        <v>5962.77</v>
      </c>
      <c r="AD359" s="345"/>
      <c r="AE359" s="68">
        <f t="shared" si="395"/>
        <v>20315.52</v>
      </c>
      <c r="AF359" s="364">
        <v>2021</v>
      </c>
      <c r="AG359" s="344"/>
      <c r="AH359" s="84"/>
      <c r="AI359" s="63"/>
      <c r="AJ359" s="63"/>
      <c r="AK359" s="63" t="str">
        <f t="shared" si="396"/>
        <v>V</v>
      </c>
      <c r="AL359" s="47"/>
      <c r="AM359" s="63" t="str">
        <f t="shared" si="397"/>
        <v>2</v>
      </c>
      <c r="AN359" s="63" t="str">
        <f t="shared" si="398"/>
        <v>1</v>
      </c>
      <c r="AO359" s="63"/>
      <c r="AP359" s="346" t="str">
        <f t="shared" si="399"/>
        <v>1</v>
      </c>
      <c r="AQ359" s="63" t="str">
        <f t="shared" si="400"/>
        <v>2.1..1</v>
      </c>
      <c r="AR359" s="534"/>
      <c r="AS359" s="64" t="s">
        <v>2261</v>
      </c>
      <c r="AT359" s="95">
        <v>24295.99</v>
      </c>
      <c r="AU359" s="95">
        <v>26278.29</v>
      </c>
      <c r="AV359" s="371">
        <f t="shared" ref="AV359:AV360" si="406">AU359/AT359</f>
        <v>1.0815895956493231</v>
      </c>
      <c r="AW359" s="95">
        <v>16713</v>
      </c>
      <c r="AX359" s="371"/>
      <c r="AY359" s="95">
        <v>7583</v>
      </c>
      <c r="AZ359" s="371">
        <f t="shared" ref="AZ359:AZ360" si="407">AY359/AT359</f>
        <v>0.31210911759512577</v>
      </c>
      <c r="BA359" s="47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</row>
    <row r="360" spans="1:68" ht="20.25" customHeight="1">
      <c r="A360" s="100">
        <v>63</v>
      </c>
      <c r="B360" s="100" t="s">
        <v>55</v>
      </c>
      <c r="C360" s="100" t="s">
        <v>2262</v>
      </c>
      <c r="D360" s="102" t="s">
        <v>691</v>
      </c>
      <c r="E360" s="100" t="str">
        <f t="shared" si="300"/>
        <v>Sama</v>
      </c>
      <c r="F360" s="63">
        <f>SUBTOTAL(3,$G$7:G375)</f>
        <v>349</v>
      </c>
      <c r="G360" s="63">
        <v>13</v>
      </c>
      <c r="H360" s="62" t="s">
        <v>55</v>
      </c>
      <c r="I360" s="62" t="s">
        <v>691</v>
      </c>
      <c r="J360" s="66">
        <v>31222.800573772765</v>
      </c>
      <c r="K360" s="533" t="s">
        <v>91</v>
      </c>
      <c r="L360" s="68">
        <f t="shared" si="405"/>
        <v>25428.240000000002</v>
      </c>
      <c r="M360" s="63"/>
      <c r="N360" s="392">
        <f t="shared" si="392"/>
        <v>2014</v>
      </c>
      <c r="O360" s="382" t="s">
        <v>270</v>
      </c>
      <c r="P360" s="68">
        <v>45904</v>
      </c>
      <c r="Q360" s="68">
        <v>0</v>
      </c>
      <c r="R360" s="68">
        <v>45904</v>
      </c>
      <c r="S360" s="68">
        <f t="shared" si="393"/>
        <v>45904</v>
      </c>
      <c r="T360" s="63"/>
      <c r="U360" s="385"/>
      <c r="V360" s="370"/>
      <c r="W360" s="370"/>
      <c r="X360" s="370"/>
      <c r="Y360" s="68">
        <f t="shared" si="394"/>
        <v>0</v>
      </c>
      <c r="Z360" s="345" t="s">
        <v>1076</v>
      </c>
      <c r="AA360" s="385" t="s">
        <v>692</v>
      </c>
      <c r="AB360" s="345">
        <v>25428.240000000002</v>
      </c>
      <c r="AC360" s="345"/>
      <c r="AD360" s="345"/>
      <c r="AE360" s="68">
        <f t="shared" si="395"/>
        <v>25428.240000000002</v>
      </c>
      <c r="AF360" s="364">
        <v>2021</v>
      </c>
      <c r="AG360" s="344"/>
      <c r="AH360" s="84"/>
      <c r="AI360" s="63"/>
      <c r="AJ360" s="63"/>
      <c r="AK360" s="63" t="str">
        <f t="shared" si="396"/>
        <v>V</v>
      </c>
      <c r="AL360" s="47"/>
      <c r="AM360" s="63" t="str">
        <f t="shared" si="397"/>
        <v>2</v>
      </c>
      <c r="AN360" s="63" t="str">
        <f t="shared" si="398"/>
        <v>1</v>
      </c>
      <c r="AO360" s="63"/>
      <c r="AP360" s="346" t="str">
        <f t="shared" si="399"/>
        <v>1</v>
      </c>
      <c r="AQ360" s="63" t="str">
        <f t="shared" si="400"/>
        <v>2.1..1</v>
      </c>
      <c r="AR360" s="534"/>
      <c r="AS360" s="64" t="s">
        <v>2263</v>
      </c>
      <c r="AT360" s="95">
        <v>31222.799999999999</v>
      </c>
      <c r="AU360" s="95">
        <v>25428.240000000002</v>
      </c>
      <c r="AV360" s="371">
        <f t="shared" si="406"/>
        <v>0.81441254467888857</v>
      </c>
      <c r="AW360" s="95">
        <v>24560</v>
      </c>
      <c r="AX360" s="371"/>
      <c r="AY360" s="95">
        <v>6663</v>
      </c>
      <c r="AZ360" s="371">
        <f t="shared" si="407"/>
        <v>0.21340174487874247</v>
      </c>
      <c r="BA360" s="47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</row>
    <row r="361" spans="1:68" ht="20.25" customHeight="1">
      <c r="A361" s="100">
        <v>62</v>
      </c>
      <c r="B361" s="100" t="s">
        <v>54</v>
      </c>
      <c r="C361" s="100">
        <v>62</v>
      </c>
      <c r="D361" s="102" t="s">
        <v>2264</v>
      </c>
      <c r="E361" s="100" t="str">
        <f t="shared" si="300"/>
        <v>Sama</v>
      </c>
      <c r="F361" s="63"/>
      <c r="G361" s="342"/>
      <c r="H361" s="379"/>
      <c r="I361" s="379" t="s">
        <v>2264</v>
      </c>
      <c r="J361" s="380">
        <f>SUM(J362:J375)</f>
        <v>136486.48835586972</v>
      </c>
      <c r="K361" s="353">
        <f>COUNTIF(K362:K375,"D") + COUNTIF(K362:K375,"DS")</f>
        <v>11</v>
      </c>
      <c r="L361" s="380">
        <f t="shared" ref="L361:M361" si="408">SUM(L362:L375)</f>
        <v>281111.15000000002</v>
      </c>
      <c r="M361" s="380">
        <f t="shared" si="408"/>
        <v>0</v>
      </c>
      <c r="N361" s="386"/>
      <c r="O361" s="351">
        <f t="shared" ref="O361:Y361" si="409">SUM(O362:O375)</f>
        <v>0</v>
      </c>
      <c r="P361" s="380">
        <f t="shared" si="409"/>
        <v>95790.1</v>
      </c>
      <c r="Q361" s="380">
        <f t="shared" si="409"/>
        <v>0</v>
      </c>
      <c r="R361" s="380">
        <f t="shared" si="409"/>
        <v>174400.05</v>
      </c>
      <c r="S361" s="380">
        <f t="shared" si="409"/>
        <v>174400.05</v>
      </c>
      <c r="T361" s="380">
        <f t="shared" si="409"/>
        <v>0</v>
      </c>
      <c r="U361" s="352">
        <f t="shared" si="409"/>
        <v>0</v>
      </c>
      <c r="V361" s="380">
        <f t="shared" si="409"/>
        <v>18536.45</v>
      </c>
      <c r="W361" s="380">
        <f t="shared" si="409"/>
        <v>133105.49</v>
      </c>
      <c r="X361" s="380">
        <f t="shared" si="409"/>
        <v>0</v>
      </c>
      <c r="Y361" s="380">
        <f t="shared" si="409"/>
        <v>18536.45</v>
      </c>
      <c r="Z361" s="337">
        <v>1</v>
      </c>
      <c r="AA361" s="352">
        <v>1</v>
      </c>
      <c r="AB361" s="337">
        <f t="shared" ref="AB361:AE361" si="410">SUM(AB362:AB375)</f>
        <v>96892.13</v>
      </c>
      <c r="AC361" s="337">
        <f t="shared" si="410"/>
        <v>49811.200000000004</v>
      </c>
      <c r="AD361" s="337">
        <f t="shared" si="410"/>
        <v>92568.11</v>
      </c>
      <c r="AE361" s="380">
        <f t="shared" si="410"/>
        <v>135720.75</v>
      </c>
      <c r="AF361" s="357" t="s">
        <v>1138</v>
      </c>
      <c r="AG361" s="419"/>
      <c r="AH361" s="420"/>
      <c r="AI361" s="421"/>
      <c r="AJ361" s="421"/>
      <c r="AK361" s="361">
        <f>COUNTIF(AK362:AK375,"V") + COUNTIF(AK362:AK375,"VV") + COUNTIF(AK362:AK375,"VVV")</f>
        <v>4</v>
      </c>
      <c r="AL361" s="422"/>
      <c r="AM361" s="360"/>
      <c r="AN361" s="360"/>
      <c r="AO361" s="421"/>
      <c r="AP361" s="346"/>
      <c r="AQ361" s="360"/>
      <c r="AR361" s="550"/>
      <c r="AS361" s="421"/>
      <c r="AT361" s="423"/>
      <c r="AU361" s="423"/>
      <c r="AV361" s="423"/>
      <c r="AW361" s="423"/>
      <c r="AX361" s="423"/>
      <c r="AY361" s="423"/>
      <c r="AZ361" s="423"/>
      <c r="BA361" s="422"/>
      <c r="BB361" s="422"/>
      <c r="BC361" s="422"/>
      <c r="BD361" s="422"/>
      <c r="BE361" s="422"/>
      <c r="BF361" s="422"/>
      <c r="BG361" s="422"/>
      <c r="BH361" s="422"/>
      <c r="BI361" s="422"/>
      <c r="BJ361" s="422"/>
      <c r="BK361" s="422"/>
      <c r="BL361" s="422"/>
      <c r="BM361" s="422"/>
      <c r="BN361" s="422"/>
      <c r="BO361" s="422"/>
      <c r="BP361" s="422"/>
    </row>
    <row r="362" spans="1:68" ht="20.25" customHeight="1">
      <c r="A362" s="100">
        <v>62</v>
      </c>
      <c r="B362" s="100" t="s">
        <v>54</v>
      </c>
      <c r="C362" s="100" t="s">
        <v>2265</v>
      </c>
      <c r="D362" s="102" t="s">
        <v>693</v>
      </c>
      <c r="E362" s="100" t="str">
        <f t="shared" si="300"/>
        <v>Sama</v>
      </c>
      <c r="F362" s="63">
        <f t="shared" ref="F362:F375" si="411">SUBTOTAL(3,$G$7:G362)</f>
        <v>336</v>
      </c>
      <c r="G362" s="63">
        <v>1</v>
      </c>
      <c r="H362" s="64" t="s">
        <v>54</v>
      </c>
      <c r="I362" s="64" t="s">
        <v>693</v>
      </c>
      <c r="J362" s="84">
        <v>7794.2865808568158</v>
      </c>
      <c r="K362" s="533" t="s">
        <v>104</v>
      </c>
      <c r="L362" s="68">
        <f t="shared" ref="L362:L365" si="412">IF(S362&gt;0,S362,IF(Y362&gt;0,Y362,IF(AE362&gt;0,AE362,0)))</f>
        <v>5872</v>
      </c>
      <c r="M362" s="63"/>
      <c r="N362" s="392" t="e">
        <f t="shared" ref="N362:N375" si="413">VALUE(RIGHT(O362,4))</f>
        <v>#VALUE!</v>
      </c>
      <c r="O362" s="382"/>
      <c r="P362" s="68"/>
      <c r="Q362" s="68"/>
      <c r="R362" s="68"/>
      <c r="S362" s="68">
        <f t="shared" ref="S362:S375" si="414">IF(R362&gt;0,R362,IF(P362&gt;0,P362,0))</f>
        <v>0</v>
      </c>
      <c r="T362" s="63"/>
      <c r="U362" s="347"/>
      <c r="V362" s="370"/>
      <c r="W362" s="370"/>
      <c r="X362" s="370"/>
      <c r="Y362" s="68">
        <f t="shared" ref="Y362:Y375" si="415">IF(X362&gt;0,X362,IF(V362&gt;0,V362,0))</f>
        <v>0</v>
      </c>
      <c r="Z362" s="345"/>
      <c r="AA362" s="531" t="s">
        <v>694</v>
      </c>
      <c r="AB362" s="345">
        <v>5872</v>
      </c>
      <c r="AC362" s="345"/>
      <c r="AD362" s="345"/>
      <c r="AE362" s="68">
        <f t="shared" ref="AE362:AE375" si="416">IF(AD362&gt;0,AD362,IF(AB362&gt;0,AB362,0))</f>
        <v>5872</v>
      </c>
      <c r="AF362" s="366" t="s">
        <v>1097</v>
      </c>
      <c r="AG362" s="358"/>
      <c r="AH362" s="359"/>
      <c r="AI362" s="360"/>
      <c r="AJ362" s="360"/>
      <c r="AK362" s="360" t="str">
        <f t="shared" ref="AK362:AK375" si="417">CONCATENATE(M362,T362,Z362)</f>
        <v/>
      </c>
      <c r="AL362" s="18"/>
      <c r="AM362" s="360" t="e">
        <f t="shared" ref="AM362:AM375" si="418">IF(N362=0,"3",IF(N362&lt;=2018,"2","1"))</f>
        <v>#VALUE!</v>
      </c>
      <c r="AN362" s="360" t="str">
        <f t="shared" ref="AN362:AN386" si="419">IF(S362&gt;0,"1","2")</f>
        <v>2</v>
      </c>
      <c r="AO362" s="360"/>
      <c r="AP362" s="346" t="str">
        <f t="shared" ref="AP362:AP386" si="420">IF(Y362&gt;0,"1",IF(AE362&gt;0,"1","2"))</f>
        <v>1</v>
      </c>
      <c r="AQ362" s="360" t="e">
        <f t="shared" ref="AQ362:AQ386" si="421">CONCATENATE(AM362,".",AN362,".",AO362,".",AP362)</f>
        <v>#VALUE!</v>
      </c>
      <c r="AR362" s="530"/>
      <c r="AS362" s="360"/>
      <c r="AT362" s="362"/>
      <c r="AU362" s="362"/>
      <c r="AV362" s="362"/>
      <c r="AW362" s="362"/>
      <c r="AX362" s="362"/>
      <c r="AY362" s="362"/>
      <c r="AZ362" s="362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</row>
    <row r="363" spans="1:68" ht="20.25" customHeight="1">
      <c r="A363" s="100">
        <v>62</v>
      </c>
      <c r="B363" s="100" t="s">
        <v>54</v>
      </c>
      <c r="C363" s="100" t="s">
        <v>2266</v>
      </c>
      <c r="D363" s="102" t="s">
        <v>695</v>
      </c>
      <c r="E363" s="100" t="str">
        <f t="shared" si="300"/>
        <v>Sama</v>
      </c>
      <c r="F363" s="63">
        <f t="shared" si="411"/>
        <v>337</v>
      </c>
      <c r="G363" s="63">
        <v>2</v>
      </c>
      <c r="H363" s="64" t="s">
        <v>54</v>
      </c>
      <c r="I363" s="64" t="s">
        <v>695</v>
      </c>
      <c r="J363" s="84">
        <v>5395.9196574516573</v>
      </c>
      <c r="K363" s="533" t="s">
        <v>104</v>
      </c>
      <c r="L363" s="68">
        <f t="shared" si="412"/>
        <v>2383.71</v>
      </c>
      <c r="M363" s="63"/>
      <c r="N363" s="392">
        <f t="shared" si="413"/>
        <v>2014</v>
      </c>
      <c r="O363" s="382" t="s">
        <v>185</v>
      </c>
      <c r="P363" s="68">
        <v>2383.71</v>
      </c>
      <c r="Q363" s="68">
        <v>0</v>
      </c>
      <c r="R363" s="68">
        <v>2383.71</v>
      </c>
      <c r="S363" s="68">
        <f t="shared" si="414"/>
        <v>2383.71</v>
      </c>
      <c r="T363" s="63"/>
      <c r="U363" s="347"/>
      <c r="V363" s="370"/>
      <c r="W363" s="370"/>
      <c r="X363" s="370"/>
      <c r="Y363" s="68">
        <f t="shared" si="415"/>
        <v>0</v>
      </c>
      <c r="Z363" s="345"/>
      <c r="AA363" s="347"/>
      <c r="AB363" s="345"/>
      <c r="AC363" s="345"/>
      <c r="AD363" s="345"/>
      <c r="AE363" s="68">
        <f t="shared" si="416"/>
        <v>0</v>
      </c>
      <c r="AF363" s="366" t="s">
        <v>1097</v>
      </c>
      <c r="AG363" s="358"/>
      <c r="AH363" s="359"/>
      <c r="AI363" s="360"/>
      <c r="AJ363" s="360"/>
      <c r="AK363" s="360" t="str">
        <f t="shared" si="417"/>
        <v/>
      </c>
      <c r="AL363" s="18"/>
      <c r="AM363" s="360" t="str">
        <f t="shared" si="418"/>
        <v>2</v>
      </c>
      <c r="AN363" s="360" t="str">
        <f t="shared" si="419"/>
        <v>1</v>
      </c>
      <c r="AO363" s="360"/>
      <c r="AP363" s="346" t="str">
        <f t="shared" si="420"/>
        <v>2</v>
      </c>
      <c r="AQ363" s="360" t="str">
        <f t="shared" si="421"/>
        <v>2.1..2</v>
      </c>
      <c r="AR363" s="530"/>
      <c r="AS363" s="360"/>
      <c r="AT363" s="362"/>
      <c r="AU363" s="362"/>
      <c r="AV363" s="362"/>
      <c r="AW363" s="362"/>
      <c r="AX363" s="362"/>
      <c r="AY363" s="362"/>
      <c r="AZ363" s="362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</row>
    <row r="364" spans="1:68" ht="20.25" customHeight="1">
      <c r="A364" s="100">
        <v>62</v>
      </c>
      <c r="B364" s="100" t="s">
        <v>54</v>
      </c>
      <c r="C364" s="100" t="s">
        <v>2267</v>
      </c>
      <c r="D364" s="102" t="s">
        <v>696</v>
      </c>
      <c r="E364" s="100" t="str">
        <f t="shared" si="300"/>
        <v>Sama</v>
      </c>
      <c r="F364" s="63">
        <f t="shared" si="411"/>
        <v>338</v>
      </c>
      <c r="G364" s="63">
        <v>3</v>
      </c>
      <c r="H364" s="64" t="s">
        <v>54</v>
      </c>
      <c r="I364" s="64" t="s">
        <v>696</v>
      </c>
      <c r="J364" s="84">
        <v>1534.529038387632</v>
      </c>
      <c r="K364" s="533" t="s">
        <v>91</v>
      </c>
      <c r="L364" s="68">
        <f t="shared" si="412"/>
        <v>51888.62</v>
      </c>
      <c r="M364" s="63" t="s">
        <v>1076</v>
      </c>
      <c r="N364" s="365">
        <f t="shared" si="413"/>
        <v>2019</v>
      </c>
      <c r="O364" s="531" t="s">
        <v>216</v>
      </c>
      <c r="P364" s="68"/>
      <c r="Q364" s="68">
        <v>0</v>
      </c>
      <c r="R364" s="68">
        <v>51888.62</v>
      </c>
      <c r="S364" s="68">
        <f t="shared" si="414"/>
        <v>51888.62</v>
      </c>
      <c r="T364" s="63"/>
      <c r="U364" s="347"/>
      <c r="V364" s="370"/>
      <c r="W364" s="370"/>
      <c r="X364" s="370"/>
      <c r="Y364" s="68">
        <f t="shared" si="415"/>
        <v>0</v>
      </c>
      <c r="Z364" s="345"/>
      <c r="AA364" s="347"/>
      <c r="AB364" s="345"/>
      <c r="AC364" s="345"/>
      <c r="AD364" s="345"/>
      <c r="AE364" s="68">
        <f t="shared" si="416"/>
        <v>0</v>
      </c>
      <c r="AF364" s="366">
        <v>2020</v>
      </c>
      <c r="AG364" s="358"/>
      <c r="AH364" s="359"/>
      <c r="AI364" s="360"/>
      <c r="AJ364" s="360"/>
      <c r="AK364" s="360" t="str">
        <f t="shared" si="417"/>
        <v>V</v>
      </c>
      <c r="AL364" s="18"/>
      <c r="AM364" s="360" t="str">
        <f t="shared" si="418"/>
        <v>1</v>
      </c>
      <c r="AN364" s="360" t="str">
        <f t="shared" si="419"/>
        <v>1</v>
      </c>
      <c r="AO364" s="360"/>
      <c r="AP364" s="346" t="str">
        <f t="shared" si="420"/>
        <v>2</v>
      </c>
      <c r="AQ364" s="360" t="str">
        <f t="shared" si="421"/>
        <v>1.1..2</v>
      </c>
      <c r="AR364" s="530"/>
      <c r="AS364" s="362" t="s">
        <v>216</v>
      </c>
      <c r="AT364" s="367">
        <v>1535</v>
      </c>
      <c r="AU364" s="367">
        <v>53033</v>
      </c>
      <c r="AV364" s="368">
        <f>AU364/AT364</f>
        <v>34.54918566775244</v>
      </c>
      <c r="AW364" s="367">
        <v>1019</v>
      </c>
      <c r="AX364" s="368">
        <f>AW364/AT364</f>
        <v>0.66384364820846908</v>
      </c>
      <c r="AY364" s="362">
        <v>515</v>
      </c>
      <c r="AZ364" s="368">
        <f>AY364/AT364</f>
        <v>0.33550488599348532</v>
      </c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</row>
    <row r="365" spans="1:68" ht="20.25" customHeight="1">
      <c r="A365" s="100">
        <v>62</v>
      </c>
      <c r="B365" s="100" t="s">
        <v>54</v>
      </c>
      <c r="C365" s="100" t="s">
        <v>2268</v>
      </c>
      <c r="D365" s="102" t="s">
        <v>697</v>
      </c>
      <c r="E365" s="100" t="str">
        <f t="shared" si="300"/>
        <v>Beda</v>
      </c>
      <c r="F365" s="63">
        <f t="shared" si="411"/>
        <v>339</v>
      </c>
      <c r="G365" s="63">
        <v>4</v>
      </c>
      <c r="H365" s="64" t="s">
        <v>54</v>
      </c>
      <c r="I365" s="62" t="s">
        <v>2269</v>
      </c>
      <c r="J365" s="84">
        <v>475.24277047469099</v>
      </c>
      <c r="K365" s="533" t="s">
        <v>104</v>
      </c>
      <c r="L365" s="68">
        <f t="shared" si="412"/>
        <v>10587.62</v>
      </c>
      <c r="M365" s="63"/>
      <c r="N365" s="392">
        <f t="shared" si="413"/>
        <v>2014</v>
      </c>
      <c r="O365" s="382" t="s">
        <v>444</v>
      </c>
      <c r="P365" s="68">
        <v>10587.62</v>
      </c>
      <c r="Q365" s="68">
        <v>0</v>
      </c>
      <c r="R365" s="68">
        <v>10587.62</v>
      </c>
      <c r="S365" s="68">
        <f t="shared" si="414"/>
        <v>10587.62</v>
      </c>
      <c r="T365" s="63"/>
      <c r="U365" s="347"/>
      <c r="V365" s="370"/>
      <c r="W365" s="370"/>
      <c r="X365" s="370"/>
      <c r="Y365" s="68">
        <f t="shared" si="415"/>
        <v>0</v>
      </c>
      <c r="Z365" s="345"/>
      <c r="AA365" s="347"/>
      <c r="AB365" s="345"/>
      <c r="AC365" s="345"/>
      <c r="AD365" s="345"/>
      <c r="AE365" s="68">
        <f t="shared" si="416"/>
        <v>0</v>
      </c>
      <c r="AF365" s="366" t="s">
        <v>1097</v>
      </c>
      <c r="AG365" s="358"/>
      <c r="AH365" s="359"/>
      <c r="AI365" s="360"/>
      <c r="AJ365" s="360"/>
      <c r="AK365" s="360" t="str">
        <f t="shared" si="417"/>
        <v/>
      </c>
      <c r="AL365" s="18"/>
      <c r="AM365" s="360" t="str">
        <f t="shared" si="418"/>
        <v>2</v>
      </c>
      <c r="AN365" s="360" t="str">
        <f t="shared" si="419"/>
        <v>1</v>
      </c>
      <c r="AO365" s="360"/>
      <c r="AP365" s="346" t="str">
        <f t="shared" si="420"/>
        <v>2</v>
      </c>
      <c r="AQ365" s="360" t="str">
        <f t="shared" si="421"/>
        <v>2.1..2</v>
      </c>
      <c r="AR365" s="530"/>
      <c r="AS365" s="360"/>
      <c r="AT365" s="362"/>
      <c r="AU365" s="362"/>
      <c r="AV365" s="362"/>
      <c r="AW365" s="362"/>
      <c r="AX365" s="362"/>
      <c r="AY365" s="362"/>
      <c r="AZ365" s="362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</row>
    <row r="366" spans="1:68" ht="20.25" customHeight="1">
      <c r="A366" s="100">
        <v>62</v>
      </c>
      <c r="B366" s="100" t="s">
        <v>54</v>
      </c>
      <c r="C366" s="100" t="s">
        <v>2270</v>
      </c>
      <c r="D366" s="102" t="s">
        <v>698</v>
      </c>
      <c r="E366" s="100" t="str">
        <f t="shared" si="300"/>
        <v>Sama</v>
      </c>
      <c r="F366" s="63">
        <f t="shared" si="411"/>
        <v>340</v>
      </c>
      <c r="G366" s="63">
        <v>5</v>
      </c>
      <c r="H366" s="64" t="s">
        <v>54</v>
      </c>
      <c r="I366" s="62" t="s">
        <v>698</v>
      </c>
      <c r="J366" s="84">
        <v>65685.665644323817</v>
      </c>
      <c r="K366" s="533" t="s">
        <v>91</v>
      </c>
      <c r="L366" s="68">
        <f>AE366</f>
        <v>92568.11</v>
      </c>
      <c r="M366" s="63"/>
      <c r="N366" s="392">
        <f t="shared" si="413"/>
        <v>2019</v>
      </c>
      <c r="O366" s="382" t="s">
        <v>349</v>
      </c>
      <c r="P366" s="68">
        <v>0</v>
      </c>
      <c r="Q366" s="68">
        <v>0</v>
      </c>
      <c r="R366" s="68">
        <v>3412.6</v>
      </c>
      <c r="S366" s="68">
        <f t="shared" si="414"/>
        <v>3412.6</v>
      </c>
      <c r="T366" s="63"/>
      <c r="U366" s="347"/>
      <c r="V366" s="370"/>
      <c r="W366" s="370"/>
      <c r="X366" s="370"/>
      <c r="Y366" s="68">
        <f t="shared" si="415"/>
        <v>0</v>
      </c>
      <c r="Z366" s="345" t="s">
        <v>1076</v>
      </c>
      <c r="AA366" s="531" t="s">
        <v>699</v>
      </c>
      <c r="AB366" s="345">
        <v>53739.49</v>
      </c>
      <c r="AC366" s="345">
        <v>38828.620000000003</v>
      </c>
      <c r="AD366" s="345">
        <v>92568.11</v>
      </c>
      <c r="AE366" s="68">
        <f t="shared" si="416"/>
        <v>92568.11</v>
      </c>
      <c r="AF366" s="364">
        <v>2022</v>
      </c>
      <c r="AG366" s="344"/>
      <c r="AH366" s="84"/>
      <c r="AI366" s="63"/>
      <c r="AJ366" s="63"/>
      <c r="AK366" s="63" t="str">
        <f t="shared" si="417"/>
        <v>V</v>
      </c>
      <c r="AL366" s="47"/>
      <c r="AM366" s="63" t="str">
        <f t="shared" si="418"/>
        <v>1</v>
      </c>
      <c r="AN366" s="63" t="str">
        <f t="shared" si="419"/>
        <v>1</v>
      </c>
      <c r="AO366" s="63"/>
      <c r="AP366" s="346" t="str">
        <f t="shared" si="420"/>
        <v>1</v>
      </c>
      <c r="AQ366" s="63" t="str">
        <f t="shared" si="421"/>
        <v>1.1..1</v>
      </c>
      <c r="AR366" s="534"/>
      <c r="AS366" s="64" t="s">
        <v>2271</v>
      </c>
      <c r="AT366" s="95">
        <v>65685.67</v>
      </c>
      <c r="AU366" s="95">
        <v>92568.11</v>
      </c>
      <c r="AV366" s="371">
        <f t="shared" ref="AV366:AV367" si="422">AU366/AT366</f>
        <v>1.4092588231192589</v>
      </c>
      <c r="AW366" s="95">
        <v>44202.720000000001</v>
      </c>
      <c r="AX366" s="371">
        <f t="shared" ref="AX366:AX367" si="423">AW366/AT366</f>
        <v>0.67294312442881377</v>
      </c>
      <c r="AY366" s="95">
        <v>21482.95</v>
      </c>
      <c r="AZ366" s="371">
        <f t="shared" ref="AZ366:AZ367" si="424">AY366/AT366</f>
        <v>0.32705687557118623</v>
      </c>
      <c r="BA366" s="47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</row>
    <row r="367" spans="1:68" ht="20.25" customHeight="1">
      <c r="A367" s="100">
        <v>62</v>
      </c>
      <c r="B367" s="100" t="s">
        <v>54</v>
      </c>
      <c r="C367" s="100" t="s">
        <v>2272</v>
      </c>
      <c r="D367" s="102" t="s">
        <v>700</v>
      </c>
      <c r="E367" s="100" t="str">
        <f t="shared" si="300"/>
        <v>Sama</v>
      </c>
      <c r="F367" s="63">
        <f t="shared" si="411"/>
        <v>341</v>
      </c>
      <c r="G367" s="63">
        <v>6</v>
      </c>
      <c r="H367" s="64" t="s">
        <v>54</v>
      </c>
      <c r="I367" s="62" t="s">
        <v>700</v>
      </c>
      <c r="J367" s="84">
        <v>11026.199057929647</v>
      </c>
      <c r="K367" s="533" t="s">
        <v>91</v>
      </c>
      <c r="L367" s="68">
        <f t="shared" ref="L367:L372" si="425">IF(S367&gt;0,S367,IF(Y367&gt;0,Y367,IF(AE367&gt;0,AE367,0)))</f>
        <v>16306.14</v>
      </c>
      <c r="M367" s="63"/>
      <c r="N367" s="365">
        <f t="shared" si="413"/>
        <v>2019</v>
      </c>
      <c r="O367" s="531" t="s">
        <v>1355</v>
      </c>
      <c r="P367" s="68"/>
      <c r="Q367" s="68"/>
      <c r="R367" s="68"/>
      <c r="S367" s="68">
        <f t="shared" si="414"/>
        <v>0</v>
      </c>
      <c r="T367" s="63"/>
      <c r="U367" s="347"/>
      <c r="V367" s="370"/>
      <c r="W367" s="370"/>
      <c r="X367" s="370"/>
      <c r="Y367" s="68">
        <f t="shared" si="415"/>
        <v>0</v>
      </c>
      <c r="Z367" s="345" t="s">
        <v>1076</v>
      </c>
      <c r="AA367" s="531" t="s">
        <v>701</v>
      </c>
      <c r="AB367" s="345">
        <v>16306.14</v>
      </c>
      <c r="AC367" s="345"/>
      <c r="AD367" s="345"/>
      <c r="AE367" s="68">
        <f t="shared" si="416"/>
        <v>16306.14</v>
      </c>
      <c r="AF367" s="364">
        <v>2022</v>
      </c>
      <c r="AG367" s="344"/>
      <c r="AH367" s="84"/>
      <c r="AI367" s="63"/>
      <c r="AJ367" s="63"/>
      <c r="AK367" s="63" t="str">
        <f t="shared" si="417"/>
        <v>V</v>
      </c>
      <c r="AL367" s="47"/>
      <c r="AM367" s="63" t="str">
        <f t="shared" si="418"/>
        <v>1</v>
      </c>
      <c r="AN367" s="63" t="str">
        <f t="shared" si="419"/>
        <v>2</v>
      </c>
      <c r="AO367" s="63"/>
      <c r="AP367" s="346" t="str">
        <f t="shared" si="420"/>
        <v>1</v>
      </c>
      <c r="AQ367" s="63" t="str">
        <f t="shared" si="421"/>
        <v>1.2..1</v>
      </c>
      <c r="AR367" s="534"/>
      <c r="AS367" s="64" t="s">
        <v>2273</v>
      </c>
      <c r="AT367" s="95">
        <v>11026.2</v>
      </c>
      <c r="AU367" s="95">
        <v>16306.14</v>
      </c>
      <c r="AV367" s="371">
        <f t="shared" si="422"/>
        <v>1.4788540022854655</v>
      </c>
      <c r="AW367" s="95">
        <v>7560.45</v>
      </c>
      <c r="AX367" s="371">
        <f t="shared" si="423"/>
        <v>0.68568047015290845</v>
      </c>
      <c r="AY367" s="95">
        <v>3465.75</v>
      </c>
      <c r="AZ367" s="371">
        <f t="shared" si="424"/>
        <v>0.31431952984709144</v>
      </c>
      <c r="BA367" s="47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</row>
    <row r="368" spans="1:68" ht="20.25" customHeight="1">
      <c r="A368" s="100">
        <v>62</v>
      </c>
      <c r="B368" s="100" t="s">
        <v>54</v>
      </c>
      <c r="C368" s="100" t="s">
        <v>2274</v>
      </c>
      <c r="D368" s="102" t="s">
        <v>2275</v>
      </c>
      <c r="E368" s="100" t="str">
        <f t="shared" si="300"/>
        <v>Beda</v>
      </c>
      <c r="F368" s="63">
        <f t="shared" si="411"/>
        <v>342</v>
      </c>
      <c r="G368" s="63">
        <v>7</v>
      </c>
      <c r="H368" s="64" t="s">
        <v>54</v>
      </c>
      <c r="I368" s="62" t="s">
        <v>702</v>
      </c>
      <c r="J368" s="84">
        <v>99.190513512111011</v>
      </c>
      <c r="K368" s="533" t="s">
        <v>104</v>
      </c>
      <c r="L368" s="68">
        <f t="shared" si="425"/>
        <v>149.72999999999999</v>
      </c>
      <c r="M368" s="63"/>
      <c r="N368" s="392">
        <f t="shared" si="413"/>
        <v>2019</v>
      </c>
      <c r="O368" s="382" t="s">
        <v>703</v>
      </c>
      <c r="P368" s="68"/>
      <c r="Q368" s="68"/>
      <c r="R368" s="68">
        <v>149.72999999999999</v>
      </c>
      <c r="S368" s="68">
        <f t="shared" si="414"/>
        <v>149.72999999999999</v>
      </c>
      <c r="T368" s="63"/>
      <c r="U368" s="347"/>
      <c r="V368" s="370"/>
      <c r="W368" s="370"/>
      <c r="X368" s="370"/>
      <c r="Y368" s="68">
        <f t="shared" si="415"/>
        <v>0</v>
      </c>
      <c r="Z368" s="345"/>
      <c r="AA368" s="347"/>
      <c r="AB368" s="345"/>
      <c r="AC368" s="345"/>
      <c r="AD368" s="345"/>
      <c r="AE368" s="68">
        <f t="shared" si="416"/>
        <v>0</v>
      </c>
      <c r="AF368" s="366" t="s">
        <v>1097</v>
      </c>
      <c r="AG368" s="358"/>
      <c r="AH368" s="359"/>
      <c r="AI368" s="360"/>
      <c r="AJ368" s="360"/>
      <c r="AK368" s="360" t="str">
        <f t="shared" si="417"/>
        <v/>
      </c>
      <c r="AL368" s="18"/>
      <c r="AM368" s="360" t="str">
        <f t="shared" si="418"/>
        <v>1</v>
      </c>
      <c r="AN368" s="360" t="str">
        <f t="shared" si="419"/>
        <v>1</v>
      </c>
      <c r="AO368" s="360"/>
      <c r="AP368" s="346" t="str">
        <f t="shared" si="420"/>
        <v>2</v>
      </c>
      <c r="AQ368" s="360" t="str">
        <f t="shared" si="421"/>
        <v>1.1..2</v>
      </c>
      <c r="AR368" s="530"/>
      <c r="AS368" s="360"/>
      <c r="AT368" s="362"/>
      <c r="AU368" s="362"/>
      <c r="AV368" s="362"/>
      <c r="AW368" s="362"/>
      <c r="AX368" s="362"/>
      <c r="AY368" s="362"/>
      <c r="AZ368" s="362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</row>
    <row r="369" spans="1:68" ht="20.25" customHeight="1">
      <c r="A369" s="100">
        <v>62</v>
      </c>
      <c r="B369" s="100" t="s">
        <v>54</v>
      </c>
      <c r="C369" s="100" t="s">
        <v>2276</v>
      </c>
      <c r="D369" s="102" t="s">
        <v>704</v>
      </c>
      <c r="E369" s="100" t="str">
        <f t="shared" si="300"/>
        <v>Sama</v>
      </c>
      <c r="F369" s="63">
        <f t="shared" si="411"/>
        <v>343</v>
      </c>
      <c r="G369" s="63">
        <v>8</v>
      </c>
      <c r="H369" s="64" t="s">
        <v>54</v>
      </c>
      <c r="I369" s="62" t="s">
        <v>704</v>
      </c>
      <c r="J369" s="84">
        <v>2934.3118772872799</v>
      </c>
      <c r="K369" s="533" t="s">
        <v>661</v>
      </c>
      <c r="L369" s="68">
        <f t="shared" si="425"/>
        <v>0</v>
      </c>
      <c r="M369" s="63"/>
      <c r="N369" s="392" t="e">
        <f t="shared" si="413"/>
        <v>#VALUE!</v>
      </c>
      <c r="O369" s="382"/>
      <c r="P369" s="68"/>
      <c r="Q369" s="68"/>
      <c r="R369" s="68"/>
      <c r="S369" s="68">
        <f t="shared" si="414"/>
        <v>0</v>
      </c>
      <c r="T369" s="63"/>
      <c r="U369" s="347"/>
      <c r="V369" s="370"/>
      <c r="W369" s="370"/>
      <c r="X369" s="370"/>
      <c r="Y369" s="68">
        <f t="shared" si="415"/>
        <v>0</v>
      </c>
      <c r="Z369" s="345"/>
      <c r="AA369" s="347"/>
      <c r="AB369" s="345"/>
      <c r="AC369" s="345"/>
      <c r="AD369" s="345"/>
      <c r="AE369" s="68">
        <f t="shared" si="416"/>
        <v>0</v>
      </c>
      <c r="AF369" s="366" t="s">
        <v>1177</v>
      </c>
      <c r="AG369" s="358"/>
      <c r="AH369" s="359"/>
      <c r="AI369" s="360"/>
      <c r="AJ369" s="360"/>
      <c r="AK369" s="360" t="str">
        <f t="shared" si="417"/>
        <v/>
      </c>
      <c r="AL369" s="18"/>
      <c r="AM369" s="360" t="e">
        <f t="shared" si="418"/>
        <v>#VALUE!</v>
      </c>
      <c r="AN369" s="360" t="str">
        <f t="shared" si="419"/>
        <v>2</v>
      </c>
      <c r="AO369" s="360"/>
      <c r="AP369" s="346" t="str">
        <f t="shared" si="420"/>
        <v>2</v>
      </c>
      <c r="AQ369" s="360" t="e">
        <f t="shared" si="421"/>
        <v>#VALUE!</v>
      </c>
      <c r="AR369" s="530"/>
      <c r="AS369" s="360"/>
      <c r="AT369" s="362"/>
      <c r="AU369" s="362"/>
      <c r="AV369" s="362"/>
      <c r="AW369" s="362"/>
      <c r="AX369" s="362"/>
      <c r="AY369" s="362"/>
      <c r="AZ369" s="362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</row>
    <row r="370" spans="1:68" ht="20.25" customHeight="1">
      <c r="A370" s="100">
        <v>62</v>
      </c>
      <c r="B370" s="100" t="s">
        <v>54</v>
      </c>
      <c r="C370" s="100" t="s">
        <v>2277</v>
      </c>
      <c r="D370" s="102" t="s">
        <v>706</v>
      </c>
      <c r="E370" s="100" t="str">
        <f t="shared" si="300"/>
        <v>Sama</v>
      </c>
      <c r="F370" s="63">
        <f t="shared" si="411"/>
        <v>344</v>
      </c>
      <c r="G370" s="63">
        <v>9</v>
      </c>
      <c r="H370" s="64" t="s">
        <v>54</v>
      </c>
      <c r="I370" s="62" t="s">
        <v>706</v>
      </c>
      <c r="J370" s="84">
        <v>8783.22227737906</v>
      </c>
      <c r="K370" s="533" t="s">
        <v>661</v>
      </c>
      <c r="L370" s="68">
        <f t="shared" si="425"/>
        <v>0</v>
      </c>
      <c r="M370" s="63"/>
      <c r="N370" s="392" t="e">
        <f t="shared" si="413"/>
        <v>#VALUE!</v>
      </c>
      <c r="O370" s="382"/>
      <c r="P370" s="68"/>
      <c r="Q370" s="68"/>
      <c r="R370" s="68"/>
      <c r="S370" s="68">
        <f t="shared" si="414"/>
        <v>0</v>
      </c>
      <c r="T370" s="63"/>
      <c r="U370" s="347"/>
      <c r="V370" s="370"/>
      <c r="W370" s="370"/>
      <c r="X370" s="370"/>
      <c r="Y370" s="68">
        <f t="shared" si="415"/>
        <v>0</v>
      </c>
      <c r="Z370" s="345"/>
      <c r="AA370" s="347"/>
      <c r="AB370" s="345"/>
      <c r="AC370" s="345"/>
      <c r="AD370" s="345"/>
      <c r="AE370" s="68">
        <f t="shared" si="416"/>
        <v>0</v>
      </c>
      <c r="AF370" s="366" t="s">
        <v>1097</v>
      </c>
      <c r="AG370" s="358" t="s">
        <v>1090</v>
      </c>
      <c r="AH370" s="359"/>
      <c r="AI370" s="360"/>
      <c r="AJ370" s="360"/>
      <c r="AK370" s="360" t="str">
        <f t="shared" si="417"/>
        <v/>
      </c>
      <c r="AL370" s="18"/>
      <c r="AM370" s="360" t="e">
        <f t="shared" si="418"/>
        <v>#VALUE!</v>
      </c>
      <c r="AN370" s="360" t="str">
        <f t="shared" si="419"/>
        <v>2</v>
      </c>
      <c r="AO370" s="360"/>
      <c r="AP370" s="346" t="str">
        <f t="shared" si="420"/>
        <v>2</v>
      </c>
      <c r="AQ370" s="360" t="e">
        <f t="shared" si="421"/>
        <v>#VALUE!</v>
      </c>
      <c r="AR370" s="530"/>
      <c r="AS370" s="360"/>
      <c r="AT370" s="362"/>
      <c r="AU370" s="362"/>
      <c r="AV370" s="362"/>
      <c r="AW370" s="362"/>
      <c r="AX370" s="362"/>
      <c r="AY370" s="362"/>
      <c r="AZ370" s="362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</row>
    <row r="371" spans="1:68" ht="20.25" customHeight="1">
      <c r="A371" s="100">
        <v>62</v>
      </c>
      <c r="B371" s="100" t="s">
        <v>54</v>
      </c>
      <c r="C371" s="100" t="s">
        <v>2278</v>
      </c>
      <c r="D371" s="102" t="s">
        <v>708</v>
      </c>
      <c r="E371" s="100" t="str">
        <f t="shared" si="300"/>
        <v>Sama</v>
      </c>
      <c r="F371" s="63">
        <f t="shared" si="411"/>
        <v>345</v>
      </c>
      <c r="G371" s="63">
        <v>10</v>
      </c>
      <c r="H371" s="64" t="s">
        <v>54</v>
      </c>
      <c r="I371" s="62" t="s">
        <v>708</v>
      </c>
      <c r="J371" s="84">
        <v>261.31100317986034</v>
      </c>
      <c r="K371" s="533" t="s">
        <v>104</v>
      </c>
      <c r="L371" s="68">
        <f t="shared" si="425"/>
        <v>75498.77</v>
      </c>
      <c r="M371" s="63"/>
      <c r="N371" s="392">
        <f t="shared" si="413"/>
        <v>2014</v>
      </c>
      <c r="O371" s="382" t="s">
        <v>709</v>
      </c>
      <c r="P371" s="68">
        <v>75498.77</v>
      </c>
      <c r="Q371" s="68">
        <v>0</v>
      </c>
      <c r="R371" s="68">
        <v>75498.77</v>
      </c>
      <c r="S371" s="68">
        <f t="shared" si="414"/>
        <v>75498.77</v>
      </c>
      <c r="T371" s="63"/>
      <c r="U371" s="347"/>
      <c r="V371" s="370"/>
      <c r="W371" s="370"/>
      <c r="X371" s="370"/>
      <c r="Y371" s="68">
        <f t="shared" si="415"/>
        <v>0</v>
      </c>
      <c r="Z371" s="345"/>
      <c r="AA371" s="347"/>
      <c r="AB371" s="345"/>
      <c r="AC371" s="345"/>
      <c r="AD371" s="345"/>
      <c r="AE371" s="68">
        <f t="shared" si="416"/>
        <v>0</v>
      </c>
      <c r="AF371" s="366" t="s">
        <v>1097</v>
      </c>
      <c r="AG371" s="358"/>
      <c r="AH371" s="359"/>
      <c r="AI371" s="360"/>
      <c r="AJ371" s="360"/>
      <c r="AK371" s="360" t="str">
        <f t="shared" si="417"/>
        <v/>
      </c>
      <c r="AL371" s="18"/>
      <c r="AM371" s="360" t="str">
        <f t="shared" si="418"/>
        <v>2</v>
      </c>
      <c r="AN371" s="360" t="str">
        <f t="shared" si="419"/>
        <v>1</v>
      </c>
      <c r="AO371" s="360"/>
      <c r="AP371" s="346" t="str">
        <f t="shared" si="420"/>
        <v>2</v>
      </c>
      <c r="AQ371" s="360" t="str">
        <f t="shared" si="421"/>
        <v>2.1..2</v>
      </c>
      <c r="AR371" s="530"/>
      <c r="AS371" s="360"/>
      <c r="AT371" s="362"/>
      <c r="AU371" s="362"/>
      <c r="AV371" s="362"/>
      <c r="AW371" s="362"/>
      <c r="AX371" s="362"/>
      <c r="AY371" s="362"/>
      <c r="AZ371" s="362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</row>
    <row r="372" spans="1:68" ht="20.25" customHeight="1">
      <c r="A372" s="100">
        <v>62</v>
      </c>
      <c r="B372" s="100" t="s">
        <v>54</v>
      </c>
      <c r="C372" s="100" t="s">
        <v>2279</v>
      </c>
      <c r="D372" s="102" t="s">
        <v>710</v>
      </c>
      <c r="E372" s="100" t="str">
        <f t="shared" si="300"/>
        <v>Sama</v>
      </c>
      <c r="F372" s="63">
        <f t="shared" si="411"/>
        <v>346</v>
      </c>
      <c r="G372" s="63">
        <v>11</v>
      </c>
      <c r="H372" s="64" t="s">
        <v>54</v>
      </c>
      <c r="I372" s="62" t="s">
        <v>710</v>
      </c>
      <c r="J372" s="84">
        <v>89.405956534992541</v>
      </c>
      <c r="K372" s="533" t="s">
        <v>104</v>
      </c>
      <c r="L372" s="68">
        <f t="shared" si="425"/>
        <v>4936</v>
      </c>
      <c r="M372" s="63"/>
      <c r="N372" s="392">
        <f t="shared" si="413"/>
        <v>18</v>
      </c>
      <c r="O372" s="382" t="s">
        <v>974</v>
      </c>
      <c r="P372" s="68">
        <v>4936</v>
      </c>
      <c r="Q372" s="68">
        <v>0</v>
      </c>
      <c r="R372" s="68">
        <v>4936</v>
      </c>
      <c r="S372" s="68">
        <f t="shared" si="414"/>
        <v>4936</v>
      </c>
      <c r="T372" s="63"/>
      <c r="U372" s="347"/>
      <c r="V372" s="370"/>
      <c r="W372" s="370"/>
      <c r="X372" s="370"/>
      <c r="Y372" s="68">
        <f t="shared" si="415"/>
        <v>0</v>
      </c>
      <c r="Z372" s="345"/>
      <c r="AA372" s="347"/>
      <c r="AB372" s="345"/>
      <c r="AC372" s="345"/>
      <c r="AD372" s="345"/>
      <c r="AE372" s="68">
        <f t="shared" si="416"/>
        <v>0</v>
      </c>
      <c r="AF372" s="366" t="s">
        <v>1097</v>
      </c>
      <c r="AG372" s="358"/>
      <c r="AH372" s="359"/>
      <c r="AI372" s="360"/>
      <c r="AJ372" s="360"/>
      <c r="AK372" s="360" t="str">
        <f t="shared" si="417"/>
        <v/>
      </c>
      <c r="AL372" s="18"/>
      <c r="AM372" s="360" t="str">
        <f t="shared" si="418"/>
        <v>2</v>
      </c>
      <c r="AN372" s="360" t="str">
        <f t="shared" si="419"/>
        <v>1</v>
      </c>
      <c r="AO372" s="360"/>
      <c r="AP372" s="346" t="str">
        <f t="shared" si="420"/>
        <v>2</v>
      </c>
      <c r="AQ372" s="360" t="str">
        <f t="shared" si="421"/>
        <v>2.1..2</v>
      </c>
      <c r="AR372" s="530"/>
      <c r="AS372" s="360"/>
      <c r="AT372" s="362"/>
      <c r="AU372" s="362"/>
      <c r="AV372" s="362"/>
      <c r="AW372" s="362"/>
      <c r="AX372" s="362"/>
      <c r="AY372" s="362"/>
      <c r="AZ372" s="362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</row>
    <row r="373" spans="1:68" ht="20.25" customHeight="1">
      <c r="A373" s="100">
        <v>62</v>
      </c>
      <c r="B373" s="100" t="s">
        <v>54</v>
      </c>
      <c r="C373" s="100" t="s">
        <v>2280</v>
      </c>
      <c r="D373" s="102" t="s">
        <v>711</v>
      </c>
      <c r="E373" s="100" t="str">
        <f t="shared" si="300"/>
        <v>Beda</v>
      </c>
      <c r="F373" s="63">
        <f t="shared" si="411"/>
        <v>347</v>
      </c>
      <c r="G373" s="63">
        <v>12</v>
      </c>
      <c r="H373" s="64" t="s">
        <v>54</v>
      </c>
      <c r="I373" s="62" t="s">
        <v>2281</v>
      </c>
      <c r="J373" s="84">
        <v>27130.584500349822</v>
      </c>
      <c r="K373" s="533" t="s">
        <v>91</v>
      </c>
      <c r="L373" s="68">
        <f>Y373</f>
        <v>18536.45</v>
      </c>
      <c r="M373" s="63"/>
      <c r="N373" s="392">
        <f t="shared" si="413"/>
        <v>2019</v>
      </c>
      <c r="O373" s="382" t="s">
        <v>1346</v>
      </c>
      <c r="P373" s="68">
        <v>0</v>
      </c>
      <c r="Q373" s="68">
        <v>0</v>
      </c>
      <c r="R373" s="68">
        <v>23159</v>
      </c>
      <c r="S373" s="68">
        <f t="shared" si="414"/>
        <v>23159</v>
      </c>
      <c r="T373" s="63" t="s">
        <v>1076</v>
      </c>
      <c r="U373" s="531" t="s">
        <v>712</v>
      </c>
      <c r="V373" s="370">
        <v>18536.45</v>
      </c>
      <c r="W373" s="370">
        <v>133105.49</v>
      </c>
      <c r="X373" s="370"/>
      <c r="Y373" s="68">
        <f t="shared" si="415"/>
        <v>18536.45</v>
      </c>
      <c r="Z373" s="345" t="s">
        <v>1076</v>
      </c>
      <c r="AA373" s="531" t="s">
        <v>1615</v>
      </c>
      <c r="AB373" s="345">
        <v>20974.5</v>
      </c>
      <c r="AC373" s="345">
        <v>10982.58</v>
      </c>
      <c r="AD373" s="345"/>
      <c r="AE373" s="68">
        <f t="shared" si="416"/>
        <v>20974.5</v>
      </c>
      <c r="AF373" s="366">
        <v>2022</v>
      </c>
      <c r="AG373" s="358"/>
      <c r="AH373" s="359"/>
      <c r="AI373" s="360"/>
      <c r="AJ373" s="360"/>
      <c r="AK373" s="360" t="str">
        <f t="shared" si="417"/>
        <v>VV</v>
      </c>
      <c r="AL373" s="18"/>
      <c r="AM373" s="360" t="str">
        <f t="shared" si="418"/>
        <v>1</v>
      </c>
      <c r="AN373" s="360" t="str">
        <f t="shared" si="419"/>
        <v>1</v>
      </c>
      <c r="AO373" s="360"/>
      <c r="AP373" s="346" t="str">
        <f t="shared" si="420"/>
        <v>1</v>
      </c>
      <c r="AQ373" s="360" t="str">
        <f t="shared" si="421"/>
        <v>1.1..1</v>
      </c>
      <c r="AR373" s="530"/>
      <c r="AS373" s="362" t="s">
        <v>712</v>
      </c>
      <c r="AT373" s="367">
        <v>27131</v>
      </c>
      <c r="AU373" s="367">
        <v>151314</v>
      </c>
      <c r="AV373" s="368">
        <f>AU373/AT373</f>
        <v>5.5771626552651945</v>
      </c>
      <c r="AW373" s="367">
        <v>23171</v>
      </c>
      <c r="AX373" s="368">
        <f>AW373/AT373</f>
        <v>0.85404150234049614</v>
      </c>
      <c r="AY373" s="362">
        <v>207</v>
      </c>
      <c r="AZ373" s="368">
        <f>AY373/AT373</f>
        <v>7.6296487412922491E-3</v>
      </c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</row>
    <row r="374" spans="1:68" ht="20.25" customHeight="1">
      <c r="A374" s="100">
        <v>62</v>
      </c>
      <c r="B374" s="100" t="s">
        <v>54</v>
      </c>
      <c r="C374" s="100" t="s">
        <v>2282</v>
      </c>
      <c r="D374" s="102" t="s">
        <v>713</v>
      </c>
      <c r="E374" s="100" t="str">
        <f t="shared" si="300"/>
        <v>Sama</v>
      </c>
      <c r="F374" s="63">
        <f t="shared" si="411"/>
        <v>348</v>
      </c>
      <c r="G374" s="63">
        <v>13</v>
      </c>
      <c r="H374" s="64" t="s">
        <v>54</v>
      </c>
      <c r="I374" s="62" t="s">
        <v>713</v>
      </c>
      <c r="J374" s="84">
        <v>3111.4288342259483</v>
      </c>
      <c r="K374" s="533" t="s">
        <v>661</v>
      </c>
      <c r="L374" s="68">
        <f t="shared" ref="L374:L375" si="426">IF(S374&gt;0,S374,IF(Y374&gt;0,Y374,IF(AE374&gt;0,AE374,0)))</f>
        <v>0</v>
      </c>
      <c r="M374" s="63"/>
      <c r="N374" s="392" t="e">
        <f t="shared" si="413"/>
        <v>#VALUE!</v>
      </c>
      <c r="O374" s="382"/>
      <c r="P374" s="68"/>
      <c r="Q374" s="68"/>
      <c r="R374" s="68"/>
      <c r="S374" s="68">
        <f t="shared" si="414"/>
        <v>0</v>
      </c>
      <c r="T374" s="63"/>
      <c r="U374" s="347"/>
      <c r="V374" s="370"/>
      <c r="W374" s="370"/>
      <c r="X374" s="370"/>
      <c r="Y374" s="68">
        <f t="shared" si="415"/>
        <v>0</v>
      </c>
      <c r="Z374" s="345"/>
      <c r="AA374" s="347"/>
      <c r="AB374" s="345"/>
      <c r="AC374" s="345"/>
      <c r="AD374" s="345"/>
      <c r="AE374" s="68">
        <f t="shared" si="416"/>
        <v>0</v>
      </c>
      <c r="AF374" s="366" t="s">
        <v>1097</v>
      </c>
      <c r="AG374" s="358" t="s">
        <v>1090</v>
      </c>
      <c r="AH374" s="359"/>
      <c r="AI374" s="360"/>
      <c r="AJ374" s="360"/>
      <c r="AK374" s="360" t="str">
        <f t="shared" si="417"/>
        <v/>
      </c>
      <c r="AL374" s="18"/>
      <c r="AM374" s="360" t="e">
        <f t="shared" si="418"/>
        <v>#VALUE!</v>
      </c>
      <c r="AN374" s="360" t="str">
        <f t="shared" si="419"/>
        <v>2</v>
      </c>
      <c r="AO374" s="360"/>
      <c r="AP374" s="346" t="str">
        <f t="shared" si="420"/>
        <v>2</v>
      </c>
      <c r="AQ374" s="360" t="e">
        <f t="shared" si="421"/>
        <v>#VALUE!</v>
      </c>
      <c r="AR374" s="530"/>
      <c r="AS374" s="360"/>
      <c r="AT374" s="362"/>
      <c r="AU374" s="362"/>
      <c r="AV374" s="362"/>
      <c r="AW374" s="362"/>
      <c r="AX374" s="362"/>
      <c r="AY374" s="362"/>
      <c r="AZ374" s="362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</row>
    <row r="375" spans="1:68" ht="20.25" customHeight="1">
      <c r="A375" s="100">
        <v>62</v>
      </c>
      <c r="B375" s="100" t="s">
        <v>54</v>
      </c>
      <c r="C375" s="100" t="s">
        <v>2283</v>
      </c>
      <c r="D375" s="102" t="s">
        <v>715</v>
      </c>
      <c r="E375" s="100" t="str">
        <f t="shared" si="300"/>
        <v>Sama</v>
      </c>
      <c r="F375" s="63">
        <f t="shared" si="411"/>
        <v>349</v>
      </c>
      <c r="G375" s="63">
        <v>14</v>
      </c>
      <c r="H375" s="64" t="s">
        <v>54</v>
      </c>
      <c r="I375" s="62" t="s">
        <v>715</v>
      </c>
      <c r="J375" s="84">
        <v>2165.1906439764057</v>
      </c>
      <c r="K375" s="533" t="s">
        <v>104</v>
      </c>
      <c r="L375" s="68">
        <f t="shared" si="426"/>
        <v>2384</v>
      </c>
      <c r="M375" s="63"/>
      <c r="N375" s="392">
        <f t="shared" si="413"/>
        <v>2012</v>
      </c>
      <c r="O375" s="382" t="s">
        <v>527</v>
      </c>
      <c r="P375" s="68">
        <v>2384</v>
      </c>
      <c r="Q375" s="68">
        <v>0</v>
      </c>
      <c r="R375" s="68">
        <v>2384</v>
      </c>
      <c r="S375" s="68">
        <f t="shared" si="414"/>
        <v>2384</v>
      </c>
      <c r="T375" s="63"/>
      <c r="U375" s="347"/>
      <c r="V375" s="370"/>
      <c r="W375" s="370"/>
      <c r="X375" s="370"/>
      <c r="Y375" s="68">
        <f t="shared" si="415"/>
        <v>0</v>
      </c>
      <c r="Z375" s="345"/>
      <c r="AA375" s="347"/>
      <c r="AB375" s="345"/>
      <c r="AC375" s="345"/>
      <c r="AD375" s="345"/>
      <c r="AE375" s="68">
        <f t="shared" si="416"/>
        <v>0</v>
      </c>
      <c r="AF375" s="366" t="s">
        <v>1097</v>
      </c>
      <c r="AG375" s="358" t="s">
        <v>1090</v>
      </c>
      <c r="AH375" s="359"/>
      <c r="AI375" s="360"/>
      <c r="AJ375" s="360"/>
      <c r="AK375" s="360" t="str">
        <f t="shared" si="417"/>
        <v/>
      </c>
      <c r="AL375" s="18"/>
      <c r="AM375" s="360" t="str">
        <f t="shared" si="418"/>
        <v>2</v>
      </c>
      <c r="AN375" s="360" t="str">
        <f t="shared" si="419"/>
        <v>1</v>
      </c>
      <c r="AO375" s="360"/>
      <c r="AP375" s="346" t="str">
        <f t="shared" si="420"/>
        <v>2</v>
      </c>
      <c r="AQ375" s="360" t="str">
        <f t="shared" si="421"/>
        <v>2.1..2</v>
      </c>
      <c r="AR375" s="530"/>
      <c r="AS375" s="360"/>
      <c r="AT375" s="362"/>
      <c r="AU375" s="362"/>
      <c r="AV375" s="362"/>
      <c r="AW375" s="362"/>
      <c r="AX375" s="362"/>
      <c r="AY375" s="362"/>
      <c r="AZ375" s="362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</row>
    <row r="376" spans="1:68" ht="20.25" customHeight="1">
      <c r="A376" s="100">
        <v>64</v>
      </c>
      <c r="B376" s="100" t="s">
        <v>56</v>
      </c>
      <c r="C376" s="100">
        <v>64</v>
      </c>
      <c r="D376" s="102" t="s">
        <v>2284</v>
      </c>
      <c r="E376" s="100" t="str">
        <f t="shared" si="300"/>
        <v>Sama</v>
      </c>
      <c r="F376" s="63"/>
      <c r="G376" s="342"/>
      <c r="H376" s="379"/>
      <c r="I376" s="379" t="s">
        <v>2284</v>
      </c>
      <c r="J376" s="380">
        <f>SUM(J377:J386)</f>
        <v>41405.705704683358</v>
      </c>
      <c r="K376" s="353">
        <f>COUNTIF(K377:K386,"D") + COUNTIF(K377:K386,"DS")</f>
        <v>7</v>
      </c>
      <c r="L376" s="383">
        <f>SUBTOTAL(9,L377:L386)</f>
        <v>244784.53</v>
      </c>
      <c r="M376" s="342"/>
      <c r="N376" s="355"/>
      <c r="O376" s="356"/>
      <c r="P376" s="383">
        <f t="shared" ref="P376:S376" si="427">SUBTOTAL(9,P378:P386)</f>
        <v>243471.19999999998</v>
      </c>
      <c r="Q376" s="383">
        <f t="shared" si="427"/>
        <v>0</v>
      </c>
      <c r="R376" s="383">
        <f t="shared" si="427"/>
        <v>243553.65</v>
      </c>
      <c r="S376" s="383">
        <f t="shared" si="427"/>
        <v>243553.65</v>
      </c>
      <c r="T376" s="342"/>
      <c r="U376" s="351"/>
      <c r="V376" s="384">
        <v>10277.880000000001</v>
      </c>
      <c r="W376" s="384">
        <v>0</v>
      </c>
      <c r="X376" s="384">
        <v>0</v>
      </c>
      <c r="Y376" s="383">
        <f>SUBTOTAL(9,Y378:Y386)</f>
        <v>10277.880000000001</v>
      </c>
      <c r="Z376" s="337"/>
      <c r="AA376" s="351"/>
      <c r="AB376" s="337">
        <v>10277.880000000001</v>
      </c>
      <c r="AC376" s="337">
        <v>0</v>
      </c>
      <c r="AD376" s="337">
        <v>0</v>
      </c>
      <c r="AE376" s="383">
        <f>SUBTOTAL(9,AE378:AE386)</f>
        <v>0</v>
      </c>
      <c r="AF376" s="357" t="s">
        <v>1138</v>
      </c>
      <c r="AG376" s="419"/>
      <c r="AH376" s="420"/>
      <c r="AI376" s="421"/>
      <c r="AJ376" s="421"/>
      <c r="AK376" s="361">
        <f>COUNTIF(AK377:AK386,"V") + COUNTIF(AK377:AK386,"VV") + COUNTIF(AK377:AK386,"VVV")</f>
        <v>3</v>
      </c>
      <c r="AL376" s="422"/>
      <c r="AM376" s="360"/>
      <c r="AN376" s="360" t="str">
        <f t="shared" si="419"/>
        <v>1</v>
      </c>
      <c r="AO376" s="421"/>
      <c r="AP376" s="346" t="str">
        <f t="shared" si="420"/>
        <v>1</v>
      </c>
      <c r="AQ376" s="360" t="str">
        <f t="shared" si="421"/>
        <v>.1..1</v>
      </c>
      <c r="AR376" s="550"/>
      <c r="AS376" s="421"/>
      <c r="AT376" s="423"/>
      <c r="AU376" s="423"/>
      <c r="AV376" s="423"/>
      <c r="AW376" s="423"/>
      <c r="AX376" s="423"/>
      <c r="AY376" s="423"/>
      <c r="AZ376" s="423"/>
      <c r="BA376" s="422"/>
      <c r="BB376" s="422"/>
      <c r="BC376" s="422"/>
      <c r="BD376" s="422"/>
      <c r="BE376" s="422"/>
      <c r="BF376" s="422"/>
      <c r="BG376" s="422"/>
      <c r="BH376" s="422"/>
      <c r="BI376" s="422"/>
      <c r="BJ376" s="422"/>
      <c r="BK376" s="422"/>
      <c r="BL376" s="422"/>
      <c r="BM376" s="422"/>
      <c r="BN376" s="422"/>
      <c r="BO376" s="422"/>
      <c r="BP376" s="422"/>
    </row>
    <row r="377" spans="1:68" ht="20.25" customHeight="1">
      <c r="A377" s="100">
        <v>64</v>
      </c>
      <c r="B377" s="100" t="s">
        <v>56</v>
      </c>
      <c r="C377" s="100" t="s">
        <v>2285</v>
      </c>
      <c r="D377" s="102" t="s">
        <v>716</v>
      </c>
      <c r="E377" s="100" t="str">
        <f t="shared" si="300"/>
        <v>Sama</v>
      </c>
      <c r="F377" s="63">
        <f t="shared" ref="F377:F381" si="428">SUBTOTAL(3,$G$7:G377)</f>
        <v>350</v>
      </c>
      <c r="G377" s="63">
        <v>1</v>
      </c>
      <c r="H377" s="64" t="s">
        <v>56</v>
      </c>
      <c r="I377" s="64" t="s">
        <v>716</v>
      </c>
      <c r="J377" s="84">
        <v>1919.023171677256</v>
      </c>
      <c r="K377" s="533" t="s">
        <v>661</v>
      </c>
      <c r="L377" s="68">
        <f t="shared" ref="L377:L386" si="429">IF(S377&gt;0,S377,IF(Y377&gt;0,Y377,IF(AE377&gt;0,AE377,0)))</f>
        <v>0</v>
      </c>
      <c r="M377" s="63"/>
      <c r="N377" s="392" t="e">
        <f t="shared" ref="N377:N386" si="430">VALUE(RIGHT(O377,4))</f>
        <v>#VALUE!</v>
      </c>
      <c r="O377" s="382"/>
      <c r="P377" s="68"/>
      <c r="Q377" s="68"/>
      <c r="R377" s="68"/>
      <c r="S377" s="68">
        <f t="shared" ref="S377:S386" si="431">IF(R377&gt;0,R377,IF(P377&gt;0,P377,0))</f>
        <v>0</v>
      </c>
      <c r="T377" s="63"/>
      <c r="U377" s="347"/>
      <c r="V377" s="370"/>
      <c r="W377" s="370"/>
      <c r="X377" s="370"/>
      <c r="Y377" s="68">
        <f t="shared" ref="Y377:Y386" si="432">IF(X377&gt;0,X377,IF(V377&gt;0,V377,0))</f>
        <v>0</v>
      </c>
      <c r="Z377" s="345"/>
      <c r="AA377" s="347"/>
      <c r="AB377" s="345"/>
      <c r="AC377" s="345"/>
      <c r="AD377" s="345"/>
      <c r="AE377" s="68">
        <f t="shared" ref="AE377:AE386" si="433">IF(AD377&gt;0,AD377,IF(AB377&gt;0,AB377,0))</f>
        <v>0</v>
      </c>
      <c r="AF377" s="366" t="s">
        <v>1097</v>
      </c>
      <c r="AG377" s="358"/>
      <c r="AH377" s="359"/>
      <c r="AI377" s="360"/>
      <c r="AJ377" s="360"/>
      <c r="AK377" s="360" t="str">
        <f t="shared" ref="AK377:AK386" si="434">CONCATENATE(M377,T377,Z377)</f>
        <v/>
      </c>
      <c r="AL377" s="18"/>
      <c r="AM377" s="360" t="e">
        <f t="shared" ref="AM377:AM386" si="435">IF(N377=0,"3",IF(N377&lt;=2018,"2","1"))</f>
        <v>#VALUE!</v>
      </c>
      <c r="AN377" s="360" t="str">
        <f t="shared" si="419"/>
        <v>2</v>
      </c>
      <c r="AO377" s="360"/>
      <c r="AP377" s="346" t="str">
        <f t="shared" si="420"/>
        <v>2</v>
      </c>
      <c r="AQ377" s="360" t="e">
        <f t="shared" si="421"/>
        <v>#VALUE!</v>
      </c>
      <c r="AR377" s="530"/>
      <c r="AS377" s="360"/>
      <c r="AT377" s="362"/>
      <c r="AU377" s="362"/>
      <c r="AV377" s="362"/>
      <c r="AW377" s="362"/>
      <c r="AX377" s="362"/>
      <c r="AY377" s="362"/>
      <c r="AZ377" s="362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</row>
    <row r="378" spans="1:68" ht="20.25" customHeight="1">
      <c r="A378" s="100">
        <v>64</v>
      </c>
      <c r="B378" s="100" t="s">
        <v>56</v>
      </c>
      <c r="C378" s="100" t="s">
        <v>2286</v>
      </c>
      <c r="D378" s="102" t="s">
        <v>718</v>
      </c>
      <c r="E378" s="100" t="str">
        <f t="shared" si="300"/>
        <v>Sama</v>
      </c>
      <c r="F378" s="63">
        <f t="shared" si="428"/>
        <v>351</v>
      </c>
      <c r="G378" s="63">
        <v>2</v>
      </c>
      <c r="H378" s="64" t="s">
        <v>56</v>
      </c>
      <c r="I378" s="64" t="s">
        <v>718</v>
      </c>
      <c r="J378" s="84">
        <v>132.51645454821806</v>
      </c>
      <c r="K378" s="533" t="s">
        <v>104</v>
      </c>
      <c r="L378" s="68">
        <f t="shared" si="429"/>
        <v>130</v>
      </c>
      <c r="M378" s="63"/>
      <c r="N378" s="392">
        <f t="shared" si="430"/>
        <v>2012</v>
      </c>
      <c r="O378" s="382" t="s">
        <v>682</v>
      </c>
      <c r="P378" s="68">
        <v>130</v>
      </c>
      <c r="Q378" s="68">
        <v>0</v>
      </c>
      <c r="R378" s="68">
        <v>130</v>
      </c>
      <c r="S378" s="68">
        <f t="shared" si="431"/>
        <v>130</v>
      </c>
      <c r="T378" s="63"/>
      <c r="U378" s="347" t="s">
        <v>1641</v>
      </c>
      <c r="V378" s="370"/>
      <c r="W378" s="370"/>
      <c r="X378" s="370"/>
      <c r="Y378" s="68">
        <f t="shared" si="432"/>
        <v>0</v>
      </c>
      <c r="Z378" s="345"/>
      <c r="AA378" s="347"/>
      <c r="AB378" s="345"/>
      <c r="AC378" s="345"/>
      <c r="AD378" s="345"/>
      <c r="AE378" s="68">
        <f t="shared" si="433"/>
        <v>0</v>
      </c>
      <c r="AF378" s="366" t="s">
        <v>1097</v>
      </c>
      <c r="AG378" s="358"/>
      <c r="AH378" s="359"/>
      <c r="AI378" s="360"/>
      <c r="AJ378" s="360"/>
      <c r="AK378" s="360" t="str">
        <f t="shared" si="434"/>
        <v/>
      </c>
      <c r="AL378" s="18"/>
      <c r="AM378" s="360" t="str">
        <f t="shared" si="435"/>
        <v>2</v>
      </c>
      <c r="AN378" s="360" t="str">
        <f t="shared" si="419"/>
        <v>1</v>
      </c>
      <c r="AO378" s="360"/>
      <c r="AP378" s="346" t="str">
        <f t="shared" si="420"/>
        <v>2</v>
      </c>
      <c r="AQ378" s="360" t="str">
        <f t="shared" si="421"/>
        <v>2.1..2</v>
      </c>
      <c r="AR378" s="530"/>
      <c r="AS378" s="360"/>
      <c r="AT378" s="362"/>
      <c r="AU378" s="362"/>
      <c r="AV378" s="362"/>
      <c r="AW378" s="362"/>
      <c r="AX378" s="362"/>
      <c r="AY378" s="362"/>
      <c r="AZ378" s="362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</row>
    <row r="379" spans="1:68" ht="20.25" customHeight="1">
      <c r="A379" s="100">
        <v>64</v>
      </c>
      <c r="B379" s="100" t="s">
        <v>56</v>
      </c>
      <c r="C379" s="100" t="s">
        <v>2287</v>
      </c>
      <c r="D379" s="102" t="s">
        <v>719</v>
      </c>
      <c r="E379" s="100" t="str">
        <f t="shared" si="300"/>
        <v>Sama</v>
      </c>
      <c r="F379" s="63">
        <f t="shared" si="428"/>
        <v>352</v>
      </c>
      <c r="G379" s="63">
        <v>3</v>
      </c>
      <c r="H379" s="64" t="s">
        <v>56</v>
      </c>
      <c r="I379" s="64" t="s">
        <v>719</v>
      </c>
      <c r="J379" s="84">
        <v>65.215153281266396</v>
      </c>
      <c r="K379" s="533" t="s">
        <v>91</v>
      </c>
      <c r="L379" s="68">
        <f t="shared" si="429"/>
        <v>12.69</v>
      </c>
      <c r="M379" s="63" t="s">
        <v>1076</v>
      </c>
      <c r="N379" s="365">
        <f t="shared" si="430"/>
        <v>2019</v>
      </c>
      <c r="O379" s="347" t="s">
        <v>454</v>
      </c>
      <c r="P379" s="370">
        <v>9.24</v>
      </c>
      <c r="Q379" s="370">
        <v>0</v>
      </c>
      <c r="R379" s="370">
        <v>12.69</v>
      </c>
      <c r="S379" s="68">
        <f t="shared" si="431"/>
        <v>12.69</v>
      </c>
      <c r="T379" s="63"/>
      <c r="U379" s="347"/>
      <c r="V379" s="370"/>
      <c r="W379" s="370"/>
      <c r="X379" s="370"/>
      <c r="Y379" s="68">
        <f t="shared" si="432"/>
        <v>0</v>
      </c>
      <c r="Z379" s="345"/>
      <c r="AA379" s="347"/>
      <c r="AB379" s="345"/>
      <c r="AC379" s="345"/>
      <c r="AD379" s="345"/>
      <c r="AE379" s="68">
        <f t="shared" si="433"/>
        <v>0</v>
      </c>
      <c r="AF379" s="366">
        <v>2020</v>
      </c>
      <c r="AG379" s="358"/>
      <c r="AH379" s="359"/>
      <c r="AI379" s="360"/>
      <c r="AJ379" s="360"/>
      <c r="AK379" s="360" t="str">
        <f t="shared" si="434"/>
        <v>V</v>
      </c>
      <c r="AL379" s="18"/>
      <c r="AM379" s="360" t="str">
        <f t="shared" si="435"/>
        <v>1</v>
      </c>
      <c r="AN379" s="360" t="str">
        <f t="shared" si="419"/>
        <v>1</v>
      </c>
      <c r="AO379" s="360"/>
      <c r="AP379" s="346" t="str">
        <f t="shared" si="420"/>
        <v>2</v>
      </c>
      <c r="AQ379" s="360" t="str">
        <f t="shared" si="421"/>
        <v>1.1..2</v>
      </c>
      <c r="AR379" s="530"/>
      <c r="AS379" s="362" t="s">
        <v>454</v>
      </c>
      <c r="AT379" s="362">
        <v>65</v>
      </c>
      <c r="AU379" s="362">
        <v>13</v>
      </c>
      <c r="AV379" s="368">
        <f t="shared" ref="AV379:AV380" si="436">AU379/AT379</f>
        <v>0.2</v>
      </c>
      <c r="AW379" s="362">
        <v>11</v>
      </c>
      <c r="AX379" s="368">
        <f t="shared" ref="AX379:AX380" si="437">AW379/AT379</f>
        <v>0.16923076923076924</v>
      </c>
      <c r="AY379" s="362">
        <v>1</v>
      </c>
      <c r="AZ379" s="368">
        <f t="shared" ref="AZ379:AZ380" si="438">AY379/AT379</f>
        <v>1.5384615384615385E-2</v>
      </c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</row>
    <row r="380" spans="1:68" ht="20.25" customHeight="1">
      <c r="A380" s="100">
        <v>64</v>
      </c>
      <c r="B380" s="100" t="s">
        <v>56</v>
      </c>
      <c r="C380" s="100" t="s">
        <v>2288</v>
      </c>
      <c r="D380" s="102" t="s">
        <v>720</v>
      </c>
      <c r="E380" s="100" t="str">
        <f t="shared" si="300"/>
        <v>Sama</v>
      </c>
      <c r="F380" s="63">
        <f t="shared" si="428"/>
        <v>353</v>
      </c>
      <c r="G380" s="63">
        <v>4</v>
      </c>
      <c r="H380" s="64" t="s">
        <v>56</v>
      </c>
      <c r="I380" s="64" t="s">
        <v>720</v>
      </c>
      <c r="J380" s="84">
        <v>2059.5280860908742</v>
      </c>
      <c r="K380" s="533" t="s">
        <v>91</v>
      </c>
      <c r="L380" s="68">
        <f t="shared" si="429"/>
        <v>1230.8800000000001</v>
      </c>
      <c r="M380" s="63"/>
      <c r="N380" s="392" t="e">
        <f t="shared" si="430"/>
        <v>#VALUE!</v>
      </c>
      <c r="O380" s="382"/>
      <c r="P380" s="68"/>
      <c r="Q380" s="68"/>
      <c r="R380" s="68"/>
      <c r="S380" s="68">
        <f t="shared" si="431"/>
        <v>0</v>
      </c>
      <c r="T380" s="63" t="s">
        <v>1076</v>
      </c>
      <c r="U380" s="347" t="s">
        <v>721</v>
      </c>
      <c r="V380" s="370">
        <v>1230.8800000000001</v>
      </c>
      <c r="W380" s="370">
        <v>0</v>
      </c>
      <c r="X380" s="370">
        <v>0</v>
      </c>
      <c r="Y380" s="68">
        <f t="shared" si="432"/>
        <v>1230.8800000000001</v>
      </c>
      <c r="Z380" s="345"/>
      <c r="AA380" s="347"/>
      <c r="AB380" s="345"/>
      <c r="AC380" s="345"/>
      <c r="AD380" s="345"/>
      <c r="AE380" s="68">
        <f t="shared" si="433"/>
        <v>0</v>
      </c>
      <c r="AF380" s="366">
        <v>2020</v>
      </c>
      <c r="AG380" s="358"/>
      <c r="AH380" s="359"/>
      <c r="AI380" s="360"/>
      <c r="AJ380" s="360"/>
      <c r="AK380" s="360" t="str">
        <f t="shared" si="434"/>
        <v>V</v>
      </c>
      <c r="AL380" s="18"/>
      <c r="AM380" s="360" t="e">
        <f t="shared" si="435"/>
        <v>#VALUE!</v>
      </c>
      <c r="AN380" s="360" t="str">
        <f t="shared" si="419"/>
        <v>2</v>
      </c>
      <c r="AO380" s="360"/>
      <c r="AP380" s="346" t="str">
        <f t="shared" si="420"/>
        <v>1</v>
      </c>
      <c r="AQ380" s="360" t="e">
        <f t="shared" si="421"/>
        <v>#VALUE!</v>
      </c>
      <c r="AR380" s="530"/>
      <c r="AS380" s="347" t="s">
        <v>234</v>
      </c>
      <c r="AT380" s="367">
        <v>2060</v>
      </c>
      <c r="AU380" s="367">
        <v>1232</v>
      </c>
      <c r="AV380" s="368">
        <f t="shared" si="436"/>
        <v>0.59805825242718447</v>
      </c>
      <c r="AW380" s="362">
        <v>823</v>
      </c>
      <c r="AX380" s="368">
        <f t="shared" si="437"/>
        <v>0.39951456310679612</v>
      </c>
      <c r="AY380" s="362">
        <v>501</v>
      </c>
      <c r="AZ380" s="368">
        <f t="shared" si="438"/>
        <v>0.24320388349514563</v>
      </c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</row>
    <row r="381" spans="1:68" ht="20.25" customHeight="1">
      <c r="A381" s="100">
        <v>64</v>
      </c>
      <c r="B381" s="100" t="s">
        <v>56</v>
      </c>
      <c r="C381" s="100" t="s">
        <v>2289</v>
      </c>
      <c r="D381" s="102" t="s">
        <v>722</v>
      </c>
      <c r="E381" s="100" t="str">
        <f t="shared" si="300"/>
        <v>Sama</v>
      </c>
      <c r="F381" s="63">
        <f t="shared" si="428"/>
        <v>354</v>
      </c>
      <c r="G381" s="63">
        <v>5</v>
      </c>
      <c r="H381" s="64" t="s">
        <v>56</v>
      </c>
      <c r="I381" s="64" t="s">
        <v>722</v>
      </c>
      <c r="J381" s="84">
        <v>171.94104374288301</v>
      </c>
      <c r="K381" s="533" t="s">
        <v>104</v>
      </c>
      <c r="L381" s="68">
        <f t="shared" si="429"/>
        <v>182687.96</v>
      </c>
      <c r="M381" s="63"/>
      <c r="N381" s="392">
        <f t="shared" si="430"/>
        <v>2013</v>
      </c>
      <c r="O381" s="382" t="s">
        <v>723</v>
      </c>
      <c r="P381" s="68">
        <v>182687.96</v>
      </c>
      <c r="Q381" s="68">
        <v>0</v>
      </c>
      <c r="R381" s="68">
        <v>182687.96</v>
      </c>
      <c r="S381" s="68">
        <f t="shared" si="431"/>
        <v>182687.96</v>
      </c>
      <c r="T381" s="63"/>
      <c r="U381" s="347"/>
      <c r="V381" s="370"/>
      <c r="W381" s="370"/>
      <c r="X381" s="370"/>
      <c r="Y381" s="68">
        <f t="shared" si="432"/>
        <v>0</v>
      </c>
      <c r="Z381" s="345"/>
      <c r="AA381" s="347"/>
      <c r="AB381" s="345"/>
      <c r="AC381" s="345"/>
      <c r="AD381" s="345"/>
      <c r="AE381" s="68">
        <f t="shared" si="433"/>
        <v>0</v>
      </c>
      <c r="AF381" s="366" t="s">
        <v>1097</v>
      </c>
      <c r="AG381" s="358"/>
      <c r="AH381" s="359"/>
      <c r="AI381" s="360"/>
      <c r="AJ381" s="360"/>
      <c r="AK381" s="360" t="str">
        <f t="shared" si="434"/>
        <v/>
      </c>
      <c r="AL381" s="18"/>
      <c r="AM381" s="360" t="str">
        <f t="shared" si="435"/>
        <v>2</v>
      </c>
      <c r="AN381" s="360" t="str">
        <f t="shared" si="419"/>
        <v>1</v>
      </c>
      <c r="AO381" s="360"/>
      <c r="AP381" s="346" t="str">
        <f t="shared" si="420"/>
        <v>2</v>
      </c>
      <c r="AQ381" s="360" t="str">
        <f t="shared" si="421"/>
        <v>2.1..2</v>
      </c>
      <c r="AR381" s="530"/>
      <c r="AS381" s="360"/>
      <c r="AT381" s="362"/>
      <c r="AU381" s="362"/>
      <c r="AV381" s="362"/>
      <c r="AW381" s="362"/>
      <c r="AX381" s="362"/>
      <c r="AY381" s="362"/>
      <c r="AZ381" s="362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</row>
    <row r="382" spans="1:68" ht="20.25" customHeight="1">
      <c r="A382" s="100">
        <v>64</v>
      </c>
      <c r="B382" s="100" t="s">
        <v>56</v>
      </c>
      <c r="C382" s="100" t="s">
        <v>2290</v>
      </c>
      <c r="D382" s="102" t="s">
        <v>724</v>
      </c>
      <c r="E382" s="100" t="str">
        <f t="shared" si="300"/>
        <v>Sama</v>
      </c>
      <c r="F382" s="63">
        <f>SUBTOTAL(3,$G$7:G383)</f>
        <v>356</v>
      </c>
      <c r="G382" s="63">
        <v>7</v>
      </c>
      <c r="H382" s="64" t="s">
        <v>56</v>
      </c>
      <c r="I382" s="64" t="s">
        <v>724</v>
      </c>
      <c r="J382" s="84">
        <v>18659.440782212707</v>
      </c>
      <c r="K382" s="533" t="s">
        <v>104</v>
      </c>
      <c r="L382" s="68">
        <f t="shared" si="429"/>
        <v>48110</v>
      </c>
      <c r="M382" s="63"/>
      <c r="N382" s="392">
        <f t="shared" si="430"/>
        <v>2013</v>
      </c>
      <c r="O382" s="382" t="s">
        <v>1647</v>
      </c>
      <c r="P382" s="68">
        <v>48110</v>
      </c>
      <c r="Q382" s="68">
        <v>0</v>
      </c>
      <c r="R382" s="68">
        <v>48110</v>
      </c>
      <c r="S382" s="68">
        <f t="shared" si="431"/>
        <v>48110</v>
      </c>
      <c r="T382" s="63"/>
      <c r="U382" s="385" t="s">
        <v>1648</v>
      </c>
      <c r="V382" s="370">
        <v>0</v>
      </c>
      <c r="W382" s="370">
        <v>0</v>
      </c>
      <c r="X382" s="370">
        <v>0</v>
      </c>
      <c r="Y382" s="68">
        <f t="shared" si="432"/>
        <v>0</v>
      </c>
      <c r="Z382" s="345"/>
      <c r="AA382" s="385"/>
      <c r="AB382" s="345"/>
      <c r="AC382" s="345"/>
      <c r="AD382" s="345"/>
      <c r="AE382" s="68">
        <f t="shared" si="433"/>
        <v>0</v>
      </c>
      <c r="AF382" s="366" t="s">
        <v>1129</v>
      </c>
      <c r="AG382" s="358" t="s">
        <v>1160</v>
      </c>
      <c r="AH382" s="359"/>
      <c r="AI382" s="360"/>
      <c r="AJ382" s="360"/>
      <c r="AK382" s="360" t="str">
        <f t="shared" si="434"/>
        <v/>
      </c>
      <c r="AL382" s="18"/>
      <c r="AM382" s="360" t="str">
        <f t="shared" si="435"/>
        <v>2</v>
      </c>
      <c r="AN382" s="360" t="str">
        <f t="shared" si="419"/>
        <v>1</v>
      </c>
      <c r="AO382" s="360"/>
      <c r="AP382" s="346" t="str">
        <f t="shared" si="420"/>
        <v>2</v>
      </c>
      <c r="AQ382" s="360" t="str">
        <f t="shared" si="421"/>
        <v>2.1..2</v>
      </c>
      <c r="AR382" s="530"/>
      <c r="AS382" s="347"/>
      <c r="AT382" s="362"/>
      <c r="AU382" s="362"/>
      <c r="AV382" s="362"/>
      <c r="AW382" s="362"/>
      <c r="AX382" s="362"/>
      <c r="AY382" s="362"/>
      <c r="AZ382" s="362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</row>
    <row r="383" spans="1:68" ht="20.25" customHeight="1">
      <c r="A383" s="100">
        <v>64</v>
      </c>
      <c r="B383" s="100" t="s">
        <v>56</v>
      </c>
      <c r="C383" s="100" t="s">
        <v>2291</v>
      </c>
      <c r="D383" s="102" t="s">
        <v>725</v>
      </c>
      <c r="E383" s="100" t="str">
        <f t="shared" si="300"/>
        <v>Sama</v>
      </c>
      <c r="F383" s="63">
        <f t="shared" ref="F383:F386" si="439">SUBTOTAL(3,$G$7:G383)</f>
        <v>356</v>
      </c>
      <c r="G383" s="63">
        <v>6</v>
      </c>
      <c r="H383" s="64" t="s">
        <v>56</v>
      </c>
      <c r="I383" s="64" t="s">
        <v>725</v>
      </c>
      <c r="J383" s="84">
        <v>2638.8489298972586</v>
      </c>
      <c r="K383" s="533" t="s">
        <v>661</v>
      </c>
      <c r="L383" s="68">
        <f t="shared" si="429"/>
        <v>0</v>
      </c>
      <c r="M383" s="63"/>
      <c r="N383" s="392" t="e">
        <f t="shared" si="430"/>
        <v>#VALUE!</v>
      </c>
      <c r="O383" s="382"/>
      <c r="P383" s="68"/>
      <c r="Q383" s="68"/>
      <c r="R383" s="68"/>
      <c r="S383" s="68">
        <f t="shared" si="431"/>
        <v>0</v>
      </c>
      <c r="T383" s="63"/>
      <c r="U383" s="347"/>
      <c r="V383" s="370"/>
      <c r="W383" s="370"/>
      <c r="X383" s="370"/>
      <c r="Y383" s="68">
        <f t="shared" si="432"/>
        <v>0</v>
      </c>
      <c r="Z383" s="345"/>
      <c r="AA383" s="347"/>
      <c r="AB383" s="345"/>
      <c r="AC383" s="345"/>
      <c r="AD383" s="345"/>
      <c r="AE383" s="68">
        <f t="shared" si="433"/>
        <v>0</v>
      </c>
      <c r="AF383" s="366" t="s">
        <v>1097</v>
      </c>
      <c r="AG383" s="358"/>
      <c r="AH383" s="359"/>
      <c r="AI383" s="360"/>
      <c r="AJ383" s="360"/>
      <c r="AK383" s="360" t="str">
        <f t="shared" si="434"/>
        <v/>
      </c>
      <c r="AL383" s="18"/>
      <c r="AM383" s="360" t="e">
        <f t="shared" si="435"/>
        <v>#VALUE!</v>
      </c>
      <c r="AN383" s="360" t="str">
        <f t="shared" si="419"/>
        <v>2</v>
      </c>
      <c r="AO383" s="360"/>
      <c r="AP383" s="346" t="str">
        <f t="shared" si="420"/>
        <v>2</v>
      </c>
      <c r="AQ383" s="360" t="e">
        <f t="shared" si="421"/>
        <v>#VALUE!</v>
      </c>
      <c r="AR383" s="530"/>
      <c r="AS383" s="360"/>
      <c r="AT383" s="362"/>
      <c r="AU383" s="362"/>
      <c r="AV383" s="362"/>
      <c r="AW383" s="362"/>
      <c r="AX383" s="362"/>
      <c r="AY383" s="362"/>
      <c r="AZ383" s="362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</row>
    <row r="384" spans="1:68" ht="20.25" customHeight="1">
      <c r="A384" s="100">
        <v>64</v>
      </c>
      <c r="B384" s="100" t="s">
        <v>56</v>
      </c>
      <c r="C384" s="100" t="s">
        <v>2292</v>
      </c>
      <c r="D384" s="102" t="s">
        <v>726</v>
      </c>
      <c r="E384" s="100" t="str">
        <f t="shared" si="300"/>
        <v>Sama</v>
      </c>
      <c r="F384" s="63">
        <f t="shared" si="439"/>
        <v>357</v>
      </c>
      <c r="G384" s="63">
        <v>8</v>
      </c>
      <c r="H384" s="64" t="s">
        <v>56</v>
      </c>
      <c r="I384" s="64" t="s">
        <v>726</v>
      </c>
      <c r="J384" s="84">
        <v>24.355749734300002</v>
      </c>
      <c r="K384" s="533" t="s">
        <v>104</v>
      </c>
      <c r="L384" s="68">
        <f t="shared" si="429"/>
        <v>79</v>
      </c>
      <c r="M384" s="63"/>
      <c r="N384" s="392">
        <f t="shared" si="430"/>
        <v>2021</v>
      </c>
      <c r="O384" s="382" t="s">
        <v>149</v>
      </c>
      <c r="P384" s="68"/>
      <c r="Q384" s="68"/>
      <c r="R384" s="68">
        <v>79</v>
      </c>
      <c r="S384" s="68">
        <f t="shared" si="431"/>
        <v>79</v>
      </c>
      <c r="T384" s="63"/>
      <c r="U384" s="385"/>
      <c r="V384" s="370"/>
      <c r="W384" s="370"/>
      <c r="X384" s="370"/>
      <c r="Y384" s="68">
        <f t="shared" si="432"/>
        <v>0</v>
      </c>
      <c r="Z384" s="345"/>
      <c r="AA384" s="385"/>
      <c r="AB384" s="345"/>
      <c r="AC384" s="345"/>
      <c r="AD384" s="345"/>
      <c r="AE384" s="68">
        <f t="shared" si="433"/>
        <v>0</v>
      </c>
      <c r="AF384" s="366" t="s">
        <v>1097</v>
      </c>
      <c r="AG384" s="358"/>
      <c r="AH384" s="359"/>
      <c r="AI384" s="360"/>
      <c r="AJ384" s="360"/>
      <c r="AK384" s="360" t="str">
        <f t="shared" si="434"/>
        <v/>
      </c>
      <c r="AL384" s="18"/>
      <c r="AM384" s="360" t="str">
        <f t="shared" si="435"/>
        <v>1</v>
      </c>
      <c r="AN384" s="360" t="str">
        <f t="shared" si="419"/>
        <v>1</v>
      </c>
      <c r="AO384" s="360"/>
      <c r="AP384" s="346" t="str">
        <f t="shared" si="420"/>
        <v>2</v>
      </c>
      <c r="AQ384" s="360" t="str">
        <f t="shared" si="421"/>
        <v>1.1..2</v>
      </c>
      <c r="AR384" s="530"/>
      <c r="AS384" s="360"/>
      <c r="AT384" s="362"/>
      <c r="AU384" s="362"/>
      <c r="AV384" s="362"/>
      <c r="AW384" s="362"/>
      <c r="AX384" s="362"/>
      <c r="AY384" s="362"/>
      <c r="AZ384" s="362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</row>
    <row r="385" spans="1:68" ht="20.25" customHeight="1">
      <c r="A385" s="100">
        <v>64</v>
      </c>
      <c r="B385" s="100" t="s">
        <v>56</v>
      </c>
      <c r="C385" s="100" t="s">
        <v>2293</v>
      </c>
      <c r="D385" s="102" t="s">
        <v>727</v>
      </c>
      <c r="E385" s="100" t="str">
        <f t="shared" si="300"/>
        <v>Beda</v>
      </c>
      <c r="F385" s="63">
        <f t="shared" si="439"/>
        <v>358</v>
      </c>
      <c r="G385" s="63">
        <v>9</v>
      </c>
      <c r="H385" s="64" t="s">
        <v>56</v>
      </c>
      <c r="I385" s="64" t="s">
        <v>2294</v>
      </c>
      <c r="J385" s="84">
        <v>8360.8090472080257</v>
      </c>
      <c r="K385" s="533" t="s">
        <v>661</v>
      </c>
      <c r="L385" s="68">
        <f t="shared" si="429"/>
        <v>0</v>
      </c>
      <c r="M385" s="63"/>
      <c r="N385" s="392" t="e">
        <f t="shared" si="430"/>
        <v>#VALUE!</v>
      </c>
      <c r="O385" s="382"/>
      <c r="P385" s="68"/>
      <c r="Q385" s="68"/>
      <c r="R385" s="68"/>
      <c r="S385" s="68">
        <f t="shared" si="431"/>
        <v>0</v>
      </c>
      <c r="T385" s="63"/>
      <c r="U385" s="385"/>
      <c r="V385" s="370"/>
      <c r="W385" s="370"/>
      <c r="X385" s="370"/>
      <c r="Y385" s="68">
        <f t="shared" si="432"/>
        <v>0</v>
      </c>
      <c r="Z385" s="345"/>
      <c r="AA385" s="385"/>
      <c r="AB385" s="345"/>
      <c r="AC385" s="345"/>
      <c r="AD385" s="345"/>
      <c r="AE385" s="68">
        <f t="shared" si="433"/>
        <v>0</v>
      </c>
      <c r="AF385" s="366" t="s">
        <v>1097</v>
      </c>
      <c r="AG385" s="358"/>
      <c r="AH385" s="359"/>
      <c r="AI385" s="360"/>
      <c r="AJ385" s="360"/>
      <c r="AK385" s="360" t="str">
        <f t="shared" si="434"/>
        <v/>
      </c>
      <c r="AL385" s="18"/>
      <c r="AM385" s="360" t="e">
        <f t="shared" si="435"/>
        <v>#VALUE!</v>
      </c>
      <c r="AN385" s="360" t="str">
        <f t="shared" si="419"/>
        <v>2</v>
      </c>
      <c r="AO385" s="360"/>
      <c r="AP385" s="346" t="str">
        <f t="shared" si="420"/>
        <v>2</v>
      </c>
      <c r="AQ385" s="360" t="e">
        <f t="shared" si="421"/>
        <v>#VALUE!</v>
      </c>
      <c r="AR385" s="530"/>
      <c r="AS385" s="360"/>
      <c r="AT385" s="362"/>
      <c r="AU385" s="362"/>
      <c r="AV385" s="362"/>
      <c r="AW385" s="362"/>
      <c r="AX385" s="362"/>
      <c r="AY385" s="362"/>
      <c r="AZ385" s="362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</row>
    <row r="386" spans="1:68" ht="20.25" customHeight="1">
      <c r="A386" s="100">
        <v>64</v>
      </c>
      <c r="B386" s="100" t="s">
        <v>56</v>
      </c>
      <c r="C386" s="100" t="s">
        <v>2295</v>
      </c>
      <c r="D386" s="102" t="s">
        <v>728</v>
      </c>
      <c r="E386" s="100" t="str">
        <f t="shared" si="300"/>
        <v>Sama</v>
      </c>
      <c r="F386" s="63">
        <f t="shared" si="439"/>
        <v>359</v>
      </c>
      <c r="G386" s="63">
        <v>10</v>
      </c>
      <c r="H386" s="64" t="s">
        <v>56</v>
      </c>
      <c r="I386" s="64" t="s">
        <v>728</v>
      </c>
      <c r="J386" s="84">
        <v>7374.0272862905713</v>
      </c>
      <c r="K386" s="533" t="s">
        <v>91</v>
      </c>
      <c r="L386" s="68">
        <f t="shared" si="429"/>
        <v>12534</v>
      </c>
      <c r="M386" s="63" t="s">
        <v>1076</v>
      </c>
      <c r="N386" s="392">
        <f t="shared" si="430"/>
        <v>2014</v>
      </c>
      <c r="O386" s="382" t="s">
        <v>729</v>
      </c>
      <c r="P386" s="68">
        <v>12534</v>
      </c>
      <c r="Q386" s="68">
        <v>0</v>
      </c>
      <c r="R386" s="68">
        <v>12534</v>
      </c>
      <c r="S386" s="68">
        <f t="shared" si="431"/>
        <v>12534</v>
      </c>
      <c r="T386" s="63"/>
      <c r="U386" s="385" t="s">
        <v>1652</v>
      </c>
      <c r="V386" s="370">
        <v>9047</v>
      </c>
      <c r="W386" s="370">
        <v>0</v>
      </c>
      <c r="X386" s="370">
        <v>0</v>
      </c>
      <c r="Y386" s="68">
        <f t="shared" si="432"/>
        <v>9047</v>
      </c>
      <c r="Z386" s="345"/>
      <c r="AA386" s="385"/>
      <c r="AB386" s="345"/>
      <c r="AC386" s="345"/>
      <c r="AD386" s="345"/>
      <c r="AE386" s="68">
        <f t="shared" si="433"/>
        <v>0</v>
      </c>
      <c r="AF386" s="366">
        <v>2020</v>
      </c>
      <c r="AG386" s="358"/>
      <c r="AH386" s="359"/>
      <c r="AI386" s="360"/>
      <c r="AJ386" s="360"/>
      <c r="AK386" s="360" t="str">
        <f t="shared" si="434"/>
        <v>V</v>
      </c>
      <c r="AL386" s="18"/>
      <c r="AM386" s="360" t="str">
        <f t="shared" si="435"/>
        <v>2</v>
      </c>
      <c r="AN386" s="360" t="str">
        <f t="shared" si="419"/>
        <v>1</v>
      </c>
      <c r="AO386" s="360"/>
      <c r="AP386" s="346" t="str">
        <f t="shared" si="420"/>
        <v>1</v>
      </c>
      <c r="AQ386" s="360" t="str">
        <f t="shared" si="421"/>
        <v>2.1..1</v>
      </c>
      <c r="AR386" s="530"/>
      <c r="AS386" s="347" t="s">
        <v>729</v>
      </c>
      <c r="AT386" s="367">
        <v>7374</v>
      </c>
      <c r="AU386" s="367">
        <v>12280</v>
      </c>
      <c r="AV386" s="368">
        <f>AU386/AT386</f>
        <v>1.6653105505831298</v>
      </c>
      <c r="AW386" s="367">
        <v>4999</v>
      </c>
      <c r="AX386" s="368">
        <f>AW386/AT386</f>
        <v>0.67792243016002174</v>
      </c>
      <c r="AY386" s="367">
        <v>2375</v>
      </c>
      <c r="AZ386" s="368">
        <f>AY386/AT386</f>
        <v>0.32207756983997832</v>
      </c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</row>
    <row r="387" spans="1:68" ht="20.25" customHeight="1">
      <c r="A387" s="100">
        <v>65</v>
      </c>
      <c r="B387" s="100" t="s">
        <v>57</v>
      </c>
      <c r="C387" s="100">
        <v>65</v>
      </c>
      <c r="D387" s="102" t="s">
        <v>2296</v>
      </c>
      <c r="E387" s="100" t="str">
        <f t="shared" si="300"/>
        <v>Sama</v>
      </c>
      <c r="F387" s="63"/>
      <c r="G387" s="341"/>
      <c r="H387" s="379"/>
      <c r="I387" s="379" t="s">
        <v>2296</v>
      </c>
      <c r="J387" s="380">
        <f>SUM(J388:J391)</f>
        <v>11912.376275588796</v>
      </c>
      <c r="K387" s="353">
        <f>COUNTIF(K388:K391,"D") + COUNTIF(K388:K391,"DS")</f>
        <v>4</v>
      </c>
      <c r="L387" s="383">
        <f>SUBTOTAL(9,L388:L392)</f>
        <v>154271</v>
      </c>
      <c r="M387" s="342"/>
      <c r="N387" s="355"/>
      <c r="O387" s="356"/>
      <c r="P387" s="383">
        <f t="shared" ref="P387:S387" si="440">SUBTOTAL(9,P388:P391)</f>
        <v>136298</v>
      </c>
      <c r="Q387" s="383">
        <f t="shared" si="440"/>
        <v>0</v>
      </c>
      <c r="R387" s="383">
        <f t="shared" si="440"/>
        <v>154271</v>
      </c>
      <c r="S387" s="383">
        <f t="shared" si="440"/>
        <v>154271</v>
      </c>
      <c r="T387" s="342"/>
      <c r="U387" s="351"/>
      <c r="V387" s="384">
        <v>3916</v>
      </c>
      <c r="W387" s="384">
        <v>0</v>
      </c>
      <c r="X387" s="384">
        <v>3916</v>
      </c>
      <c r="Y387" s="383">
        <f>SUBTOTAL(9,Y388:Y391)</f>
        <v>3916</v>
      </c>
      <c r="Z387" s="337"/>
      <c r="AA387" s="351">
        <v>2</v>
      </c>
      <c r="AB387" s="337">
        <v>3916</v>
      </c>
      <c r="AC387" s="337">
        <v>0</v>
      </c>
      <c r="AD387" s="337">
        <v>3916</v>
      </c>
      <c r="AE387" s="383">
        <f>SUBTOTAL(9,AE388:AE391)</f>
        <v>17973</v>
      </c>
      <c r="AF387" s="357" t="s">
        <v>1138</v>
      </c>
      <c r="AG387" s="358"/>
      <c r="AH387" s="359"/>
      <c r="AI387" s="360"/>
      <c r="AJ387" s="360"/>
      <c r="AK387" s="361">
        <f>COUNTIF(AK388:AK392,"V") + COUNTIF(AK388:AK392,"VV") + COUNTIF(AK388:AK392,"VVV")</f>
        <v>1</v>
      </c>
      <c r="AL387" s="18"/>
      <c r="AM387" s="360"/>
      <c r="AN387" s="360"/>
      <c r="AO387" s="360"/>
      <c r="AP387" s="346"/>
      <c r="AQ387" s="360"/>
      <c r="AR387" s="530"/>
      <c r="AS387" s="360"/>
      <c r="AT387" s="362"/>
      <c r="AU387" s="362"/>
      <c r="AV387" s="362"/>
      <c r="AW387" s="362"/>
      <c r="AX387" s="362"/>
      <c r="AY387" s="362"/>
      <c r="AZ387" s="362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</row>
    <row r="388" spans="1:68" ht="20.25" customHeight="1">
      <c r="A388" s="100">
        <v>65</v>
      </c>
      <c r="B388" s="100" t="s">
        <v>57</v>
      </c>
      <c r="C388" s="100" t="s">
        <v>2297</v>
      </c>
      <c r="D388" s="102" t="s">
        <v>730</v>
      </c>
      <c r="E388" s="100" t="str">
        <f t="shared" si="300"/>
        <v>Sama</v>
      </c>
      <c r="F388" s="63">
        <f t="shared" ref="F388:F392" si="441">SUBTOTAL(3,$G$7:G388)</f>
        <v>360</v>
      </c>
      <c r="G388" s="63">
        <v>1</v>
      </c>
      <c r="H388" s="62" t="s">
        <v>57</v>
      </c>
      <c r="I388" s="62" t="s">
        <v>730</v>
      </c>
      <c r="J388" s="66">
        <v>5881.1427984674147</v>
      </c>
      <c r="K388" s="533" t="s">
        <v>91</v>
      </c>
      <c r="L388" s="68">
        <f t="shared" ref="L388:L392" si="442">IF(S388&gt;0,S388,IF(Y388&gt;0,Y388,IF(AE388&gt;0,AE388,0)))</f>
        <v>17973</v>
      </c>
      <c r="M388" s="63" t="s">
        <v>1076</v>
      </c>
      <c r="N388" s="365">
        <f t="shared" ref="N388:N392" si="443">VALUE(RIGHT(O388,4))</f>
        <v>2021</v>
      </c>
      <c r="O388" s="531" t="s">
        <v>149</v>
      </c>
      <c r="P388" s="370">
        <v>0</v>
      </c>
      <c r="Q388" s="370">
        <v>0</v>
      </c>
      <c r="R388" s="370">
        <v>17973</v>
      </c>
      <c r="S388" s="68">
        <f t="shared" ref="S388:S392" si="444">IF(R388&gt;0,R388,IF(P388&gt;0,P388,0))</f>
        <v>17973</v>
      </c>
      <c r="T388" s="63"/>
      <c r="U388" s="347"/>
      <c r="V388" s="370"/>
      <c r="W388" s="370"/>
      <c r="X388" s="370"/>
      <c r="Y388" s="68">
        <f t="shared" ref="Y388:Y392" si="445">IF(X388&gt;0,X388,IF(V388&gt;0,V388,0))</f>
        <v>0</v>
      </c>
      <c r="Z388" s="345"/>
      <c r="AA388" s="531" t="s">
        <v>1655</v>
      </c>
      <c r="AB388" s="345">
        <v>1326</v>
      </c>
      <c r="AC388" s="345">
        <v>5267.6</v>
      </c>
      <c r="AD388" s="345">
        <v>17973</v>
      </c>
      <c r="AE388" s="68">
        <f t="shared" ref="AE388:AE392" si="446">IF(AD388&gt;0,AD388,IF(AB388&gt;0,AB388,0))</f>
        <v>17973</v>
      </c>
      <c r="AF388" s="366">
        <v>2020</v>
      </c>
      <c r="AG388" s="424" t="s">
        <v>1656</v>
      </c>
      <c r="AH388" s="359"/>
      <c r="AI388" s="360"/>
      <c r="AJ388" s="360" t="s">
        <v>1657</v>
      </c>
      <c r="AK388" s="360" t="str">
        <f t="shared" ref="AK388:AK392" si="447">CONCATENATE(M388,T388,Z388)</f>
        <v>V</v>
      </c>
      <c r="AL388" s="551" t="s">
        <v>1658</v>
      </c>
      <c r="AM388" s="360" t="str">
        <f t="shared" ref="AM388:AM392" si="448">IF(N388=0,"3",IF(N388&lt;=2018,"2","1"))</f>
        <v>1</v>
      </c>
      <c r="AN388" s="360" t="str">
        <f t="shared" ref="AN388:AN392" si="449">IF(S388&gt;0,"1","2")</f>
        <v>1</v>
      </c>
      <c r="AO388" s="360"/>
      <c r="AP388" s="346" t="str">
        <f t="shared" ref="AP388:AP392" si="450">IF(Y388&gt;0,"1",IF(AE388&gt;0,"1","2"))</f>
        <v>1</v>
      </c>
      <c r="AQ388" s="360" t="str">
        <f t="shared" ref="AQ388:AQ392" si="451">CONCATENATE(AM388,".",AN388,".",AO388,".",AP388)</f>
        <v>1.1..1</v>
      </c>
      <c r="AR388" s="530"/>
      <c r="AS388" s="362" t="s">
        <v>1196</v>
      </c>
      <c r="AT388" s="367">
        <v>5881</v>
      </c>
      <c r="AU388" s="367">
        <v>17987</v>
      </c>
      <c r="AV388" s="368">
        <f>AU388/AT388</f>
        <v>3.0584934534943038</v>
      </c>
      <c r="AW388" s="367">
        <v>2357</v>
      </c>
      <c r="AX388" s="368">
        <f>AW388/AT388</f>
        <v>0.40078217990137732</v>
      </c>
      <c r="AY388" s="367">
        <v>3524</v>
      </c>
      <c r="AZ388" s="368">
        <f>AY388/AT388</f>
        <v>0.59921782009862268</v>
      </c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</row>
    <row r="389" spans="1:68" ht="20.25" customHeight="1">
      <c r="A389" s="100">
        <v>65</v>
      </c>
      <c r="B389" s="100" t="s">
        <v>57</v>
      </c>
      <c r="C389" s="100" t="s">
        <v>2298</v>
      </c>
      <c r="D389" s="102" t="s">
        <v>731</v>
      </c>
      <c r="E389" s="100" t="str">
        <f t="shared" si="300"/>
        <v>Sama</v>
      </c>
      <c r="F389" s="63">
        <f t="shared" si="441"/>
        <v>361</v>
      </c>
      <c r="G389" s="63">
        <v>3</v>
      </c>
      <c r="H389" s="62" t="s">
        <v>57</v>
      </c>
      <c r="I389" s="62" t="s">
        <v>731</v>
      </c>
      <c r="J389" s="66">
        <v>1706.4701564293459</v>
      </c>
      <c r="K389" s="533" t="s">
        <v>104</v>
      </c>
      <c r="L389" s="68">
        <f t="shared" si="442"/>
        <v>3916</v>
      </c>
      <c r="M389" s="63"/>
      <c r="N389" s="392">
        <f t="shared" si="443"/>
        <v>2012</v>
      </c>
      <c r="O389" s="382" t="s">
        <v>323</v>
      </c>
      <c r="P389" s="68">
        <v>3916</v>
      </c>
      <c r="Q389" s="68">
        <v>0</v>
      </c>
      <c r="R389" s="68">
        <v>3916</v>
      </c>
      <c r="S389" s="68">
        <f t="shared" si="444"/>
        <v>3916</v>
      </c>
      <c r="T389" s="63"/>
      <c r="U389" s="385" t="s">
        <v>1661</v>
      </c>
      <c r="V389" s="370">
        <v>3916</v>
      </c>
      <c r="W389" s="370">
        <v>0</v>
      </c>
      <c r="X389" s="370">
        <v>3916</v>
      </c>
      <c r="Y389" s="68">
        <f t="shared" si="445"/>
        <v>3916</v>
      </c>
      <c r="Z389" s="345"/>
      <c r="AA389" s="385" t="s">
        <v>1662</v>
      </c>
      <c r="AB389" s="345"/>
      <c r="AC389" s="345"/>
      <c r="AD389" s="345"/>
      <c r="AE389" s="68">
        <f t="shared" si="446"/>
        <v>0</v>
      </c>
      <c r="AF389" s="366" t="s">
        <v>1097</v>
      </c>
      <c r="AG389" s="425"/>
      <c r="AH389" s="359"/>
      <c r="AI389" s="360"/>
      <c r="AJ389" s="360" t="s">
        <v>1663</v>
      </c>
      <c r="AK389" s="360" t="str">
        <f t="shared" si="447"/>
        <v/>
      </c>
      <c r="AL389" s="551"/>
      <c r="AM389" s="360" t="str">
        <f t="shared" si="448"/>
        <v>2</v>
      </c>
      <c r="AN389" s="360" t="str">
        <f t="shared" si="449"/>
        <v>1</v>
      </c>
      <c r="AO389" s="360"/>
      <c r="AP389" s="346" t="str">
        <f t="shared" si="450"/>
        <v>1</v>
      </c>
      <c r="AQ389" s="360" t="str">
        <f t="shared" si="451"/>
        <v>2.1..1</v>
      </c>
      <c r="AR389" s="530"/>
      <c r="AS389" s="360"/>
      <c r="AT389" s="362"/>
      <c r="AU389" s="362"/>
      <c r="AV389" s="362"/>
      <c r="AW389" s="362"/>
      <c r="AX389" s="362"/>
      <c r="AY389" s="362"/>
      <c r="AZ389" s="362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</row>
    <row r="390" spans="1:68" ht="20.25" customHeight="1">
      <c r="A390" s="100">
        <v>65</v>
      </c>
      <c r="B390" s="100" t="s">
        <v>57</v>
      </c>
      <c r="C390" s="100" t="s">
        <v>2299</v>
      </c>
      <c r="D390" s="102" t="s">
        <v>732</v>
      </c>
      <c r="E390" s="100" t="str">
        <f t="shared" si="300"/>
        <v>Sama</v>
      </c>
      <c r="F390" s="63">
        <f t="shared" si="441"/>
        <v>362</v>
      </c>
      <c r="G390" s="63">
        <v>4</v>
      </c>
      <c r="H390" s="62" t="s">
        <v>57</v>
      </c>
      <c r="I390" s="62" t="s">
        <v>732</v>
      </c>
      <c r="J390" s="66">
        <v>4145.1335801315172</v>
      </c>
      <c r="K390" s="533" t="s">
        <v>104</v>
      </c>
      <c r="L390" s="68">
        <f t="shared" si="442"/>
        <v>125982</v>
      </c>
      <c r="M390" s="63"/>
      <c r="N390" s="392">
        <f t="shared" si="443"/>
        <v>2013</v>
      </c>
      <c r="O390" s="382" t="s">
        <v>1665</v>
      </c>
      <c r="P390" s="68">
        <v>125982</v>
      </c>
      <c r="Q390" s="68">
        <v>0</v>
      </c>
      <c r="R390" s="68">
        <v>125982</v>
      </c>
      <c r="S390" s="68">
        <f t="shared" si="444"/>
        <v>125982</v>
      </c>
      <c r="T390" s="63"/>
      <c r="U390" s="347"/>
      <c r="V390" s="370"/>
      <c r="W390" s="370"/>
      <c r="X390" s="370"/>
      <c r="Y390" s="68">
        <f t="shared" si="445"/>
        <v>0</v>
      </c>
      <c r="Z390" s="345"/>
      <c r="AA390" s="347"/>
      <c r="AB390" s="345"/>
      <c r="AC390" s="345"/>
      <c r="AD390" s="345"/>
      <c r="AE390" s="68">
        <f t="shared" si="446"/>
        <v>0</v>
      </c>
      <c r="AF390" s="366" t="s">
        <v>1097</v>
      </c>
      <c r="AG390" s="425"/>
      <c r="AH390" s="359"/>
      <c r="AI390" s="360"/>
      <c r="AJ390" s="360"/>
      <c r="AK390" s="360" t="str">
        <f t="shared" si="447"/>
        <v/>
      </c>
      <c r="AL390" s="551"/>
      <c r="AM390" s="360" t="str">
        <f t="shared" si="448"/>
        <v>2</v>
      </c>
      <c r="AN390" s="360" t="str">
        <f t="shared" si="449"/>
        <v>1</v>
      </c>
      <c r="AO390" s="360"/>
      <c r="AP390" s="346" t="str">
        <f t="shared" si="450"/>
        <v>2</v>
      </c>
      <c r="AQ390" s="360" t="str">
        <f t="shared" si="451"/>
        <v>2.1..2</v>
      </c>
      <c r="AR390" s="530"/>
      <c r="AS390" s="360"/>
      <c r="AT390" s="362"/>
      <c r="AU390" s="362"/>
      <c r="AV390" s="362"/>
      <c r="AW390" s="362"/>
      <c r="AX390" s="362"/>
      <c r="AY390" s="362"/>
      <c r="AZ390" s="362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</row>
    <row r="391" spans="1:68" ht="20.25" customHeight="1">
      <c r="A391" s="100">
        <v>65</v>
      </c>
      <c r="B391" s="100" t="s">
        <v>57</v>
      </c>
      <c r="C391" s="100" t="s">
        <v>2300</v>
      </c>
      <c r="D391" s="102" t="s">
        <v>733</v>
      </c>
      <c r="E391" s="100" t="str">
        <f t="shared" si="300"/>
        <v>Sama</v>
      </c>
      <c r="F391" s="63">
        <f t="shared" si="441"/>
        <v>363</v>
      </c>
      <c r="G391" s="63">
        <v>5</v>
      </c>
      <c r="H391" s="62" t="s">
        <v>57</v>
      </c>
      <c r="I391" s="62" t="s">
        <v>733</v>
      </c>
      <c r="J391" s="66">
        <v>179.62974056051999</v>
      </c>
      <c r="K391" s="533" t="s">
        <v>104</v>
      </c>
      <c r="L391" s="68">
        <f t="shared" si="442"/>
        <v>6400</v>
      </c>
      <c r="M391" s="63"/>
      <c r="N391" s="392">
        <f t="shared" si="443"/>
        <v>2012</v>
      </c>
      <c r="O391" s="382" t="s">
        <v>1497</v>
      </c>
      <c r="P391" s="68">
        <v>6400</v>
      </c>
      <c r="Q391" s="68">
        <v>0</v>
      </c>
      <c r="R391" s="68">
        <v>6400</v>
      </c>
      <c r="S391" s="68">
        <f t="shared" si="444"/>
        <v>6400</v>
      </c>
      <c r="T391" s="63"/>
      <c r="U391" s="347"/>
      <c r="V391" s="370"/>
      <c r="W391" s="370"/>
      <c r="X391" s="370"/>
      <c r="Y391" s="68">
        <f t="shared" si="445"/>
        <v>0</v>
      </c>
      <c r="Z391" s="345"/>
      <c r="AA391" s="347"/>
      <c r="AB391" s="345"/>
      <c r="AC391" s="345"/>
      <c r="AD391" s="345"/>
      <c r="AE391" s="68">
        <f t="shared" si="446"/>
        <v>0</v>
      </c>
      <c r="AF391" s="366" t="s">
        <v>1097</v>
      </c>
      <c r="AG391" s="426"/>
      <c r="AH391" s="359"/>
      <c r="AI391" s="360"/>
      <c r="AJ391" s="360"/>
      <c r="AK391" s="360" t="str">
        <f t="shared" si="447"/>
        <v/>
      </c>
      <c r="AL391" s="551"/>
      <c r="AM391" s="360" t="str">
        <f t="shared" si="448"/>
        <v>2</v>
      </c>
      <c r="AN391" s="360" t="str">
        <f t="shared" si="449"/>
        <v>1</v>
      </c>
      <c r="AO391" s="360"/>
      <c r="AP391" s="346" t="str">
        <f t="shared" si="450"/>
        <v>2</v>
      </c>
      <c r="AQ391" s="360" t="str">
        <f t="shared" si="451"/>
        <v>2.1..2</v>
      </c>
      <c r="AR391" s="530"/>
      <c r="AS391" s="360"/>
      <c r="AT391" s="362"/>
      <c r="AU391" s="362"/>
      <c r="AV391" s="362"/>
      <c r="AW391" s="362"/>
      <c r="AX391" s="362"/>
      <c r="AY391" s="362"/>
      <c r="AZ391" s="362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</row>
    <row r="392" spans="1:68" ht="20.25" customHeight="1">
      <c r="A392" s="100">
        <v>65</v>
      </c>
      <c r="B392" s="100" t="s">
        <v>57</v>
      </c>
      <c r="C392" s="100" t="s">
        <v>2301</v>
      </c>
      <c r="D392" s="102" t="s">
        <v>734</v>
      </c>
      <c r="E392" s="100" t="str">
        <f t="shared" si="300"/>
        <v>Sama</v>
      </c>
      <c r="F392" s="63">
        <f t="shared" si="441"/>
        <v>364</v>
      </c>
      <c r="G392" s="63">
        <v>2</v>
      </c>
      <c r="H392" s="62" t="s">
        <v>57</v>
      </c>
      <c r="I392" s="62" t="s">
        <v>734</v>
      </c>
      <c r="J392" s="66">
        <v>9.5529406908459986</v>
      </c>
      <c r="K392" s="533" t="s">
        <v>123</v>
      </c>
      <c r="L392" s="68">
        <f t="shared" si="442"/>
        <v>0</v>
      </c>
      <c r="M392" s="63"/>
      <c r="N392" s="365">
        <f t="shared" si="443"/>
        <v>2021</v>
      </c>
      <c r="O392" s="531" t="s">
        <v>265</v>
      </c>
      <c r="P392" s="370"/>
      <c r="Q392" s="370"/>
      <c r="R392" s="370"/>
      <c r="S392" s="68">
        <f t="shared" si="444"/>
        <v>0</v>
      </c>
      <c r="T392" s="63"/>
      <c r="U392" s="347"/>
      <c r="V392" s="370"/>
      <c r="W392" s="370"/>
      <c r="X392" s="370"/>
      <c r="Y392" s="68">
        <f t="shared" si="445"/>
        <v>0</v>
      </c>
      <c r="Z392" s="345"/>
      <c r="AA392" s="347"/>
      <c r="AB392" s="345"/>
      <c r="AC392" s="345"/>
      <c r="AD392" s="345"/>
      <c r="AE392" s="68">
        <f t="shared" si="446"/>
        <v>0</v>
      </c>
      <c r="AF392" s="366" t="s">
        <v>1097</v>
      </c>
      <c r="AG392" s="425"/>
      <c r="AH392" s="359"/>
      <c r="AI392" s="360"/>
      <c r="AJ392" s="360"/>
      <c r="AK392" s="360" t="str">
        <f t="shared" si="447"/>
        <v/>
      </c>
      <c r="AL392" s="551"/>
      <c r="AM392" s="360" t="str">
        <f t="shared" si="448"/>
        <v>1</v>
      </c>
      <c r="AN392" s="360" t="str">
        <f t="shared" si="449"/>
        <v>2</v>
      </c>
      <c r="AO392" s="360"/>
      <c r="AP392" s="346" t="str">
        <f t="shared" si="450"/>
        <v>2</v>
      </c>
      <c r="AQ392" s="360" t="str">
        <f t="shared" si="451"/>
        <v>1.2..2</v>
      </c>
      <c r="AR392" s="530"/>
      <c r="AS392" s="360"/>
      <c r="AT392" s="362"/>
      <c r="AU392" s="362"/>
      <c r="AV392" s="362"/>
      <c r="AW392" s="362"/>
      <c r="AX392" s="362"/>
      <c r="AY392" s="362"/>
      <c r="AZ392" s="362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</row>
    <row r="393" spans="1:68" ht="20.25" customHeight="1">
      <c r="A393" s="100">
        <v>71</v>
      </c>
      <c r="B393" s="100" t="s">
        <v>58</v>
      </c>
      <c r="C393" s="100">
        <v>71</v>
      </c>
      <c r="D393" s="102" t="s">
        <v>2302</v>
      </c>
      <c r="E393" s="100" t="str">
        <f t="shared" si="300"/>
        <v>Sama</v>
      </c>
      <c r="F393" s="63"/>
      <c r="G393" s="342"/>
      <c r="H393" s="379"/>
      <c r="I393" s="379" t="s">
        <v>2302</v>
      </c>
      <c r="J393" s="380">
        <f>SUM(J394:J408)</f>
        <v>47043.377733252542</v>
      </c>
      <c r="K393" s="353">
        <f>COUNTIF(K394:K408,"D") + COUNTIF(K394:K408,"DS")</f>
        <v>6</v>
      </c>
      <c r="L393" s="383">
        <f>SUBTOTAL(9,L394:L408)</f>
        <v>42326.289999999994</v>
      </c>
      <c r="M393" s="342"/>
      <c r="N393" s="355"/>
      <c r="O393" s="356"/>
      <c r="P393" s="383">
        <f t="shared" ref="P393:S393" si="452">SUBTOTAL(9,P395:P406)</f>
        <v>48968.14</v>
      </c>
      <c r="Q393" s="383">
        <f t="shared" si="452"/>
        <v>0</v>
      </c>
      <c r="R393" s="383">
        <f t="shared" si="452"/>
        <v>48968.14</v>
      </c>
      <c r="S393" s="383">
        <f t="shared" si="452"/>
        <v>48968.14</v>
      </c>
      <c r="T393" s="342"/>
      <c r="U393" s="351"/>
      <c r="V393" s="384">
        <v>0</v>
      </c>
      <c r="W393" s="384">
        <v>0</v>
      </c>
      <c r="X393" s="384">
        <v>0</v>
      </c>
      <c r="Y393" s="383">
        <f>SUBTOTAL(9,Y395:Y406)</f>
        <v>0</v>
      </c>
      <c r="Z393" s="337"/>
      <c r="AA393" s="351"/>
      <c r="AB393" s="337">
        <v>0</v>
      </c>
      <c r="AC393" s="337">
        <v>0</v>
      </c>
      <c r="AD393" s="337">
        <v>0</v>
      </c>
      <c r="AE393" s="383">
        <f>SUBTOTAL(9,AE395:AE406)</f>
        <v>9150.0999999999985</v>
      </c>
      <c r="AF393" s="357" t="s">
        <v>1138</v>
      </c>
      <c r="AG393" s="358"/>
      <c r="AH393" s="359"/>
      <c r="AI393" s="360"/>
      <c r="AJ393" s="360"/>
      <c r="AK393" s="361">
        <f>COUNTIF(AK394:AK408,"V") + COUNTIF(AK394:AK408,"VV") + COUNTIF(AK394:AK408,"VVV")</f>
        <v>3</v>
      </c>
      <c r="AL393" s="18"/>
      <c r="AM393" s="360"/>
      <c r="AN393" s="360"/>
      <c r="AO393" s="360"/>
      <c r="AP393" s="346"/>
      <c r="AQ393" s="360"/>
      <c r="AR393" s="530"/>
      <c r="AS393" s="360"/>
      <c r="AT393" s="362"/>
      <c r="AU393" s="362"/>
      <c r="AV393" s="362"/>
      <c r="AW393" s="362"/>
      <c r="AX393" s="362"/>
      <c r="AY393" s="362"/>
      <c r="AZ393" s="362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</row>
    <row r="394" spans="1:68" ht="20.25" customHeight="1">
      <c r="A394" s="100">
        <v>71</v>
      </c>
      <c r="B394" s="100" t="s">
        <v>58</v>
      </c>
      <c r="C394" s="100" t="s">
        <v>2303</v>
      </c>
      <c r="D394" s="102" t="s">
        <v>735</v>
      </c>
      <c r="E394" s="100" t="str">
        <f t="shared" si="300"/>
        <v>Sama</v>
      </c>
      <c r="F394" s="63">
        <f>SUBTOTAL(3,$G$7:G394)</f>
        <v>365</v>
      </c>
      <c r="G394" s="63">
        <v>1</v>
      </c>
      <c r="H394" s="64" t="s">
        <v>58</v>
      </c>
      <c r="I394" s="64" t="s">
        <v>735</v>
      </c>
      <c r="J394" s="84">
        <v>19659.830852926905</v>
      </c>
      <c r="K394" s="533" t="s">
        <v>661</v>
      </c>
      <c r="L394" s="68">
        <f>IF(S394&gt;0,S394,IF(Y394&gt;0,Y394,IF(AE394&gt;0,AE394,0)))</f>
        <v>0</v>
      </c>
      <c r="M394" s="387"/>
      <c r="N394" s="427" t="e">
        <f t="shared" ref="N394:N398" si="453">VALUE(RIGHT(O394,4))</f>
        <v>#VALUE!</v>
      </c>
      <c r="O394" s="428"/>
      <c r="P394" s="388"/>
      <c r="Q394" s="388"/>
      <c r="R394" s="388"/>
      <c r="S394" s="68">
        <f t="shared" ref="S394:S398" si="454">IF(R394&gt;0,R394,IF(P394&gt;0,P394,0))</f>
        <v>0</v>
      </c>
      <c r="T394" s="387"/>
      <c r="U394" s="389"/>
      <c r="V394" s="390"/>
      <c r="W394" s="390"/>
      <c r="X394" s="390"/>
      <c r="Y394" s="68">
        <f t="shared" ref="Y394:Y398" si="455">IF(X394&gt;0,X394,IF(V394&gt;0,V394,0))</f>
        <v>0</v>
      </c>
      <c r="Z394" s="391"/>
      <c r="AA394" s="389"/>
      <c r="AB394" s="391"/>
      <c r="AC394" s="391"/>
      <c r="AD394" s="391"/>
      <c r="AE394" s="68">
        <f t="shared" ref="AE394:AE398" si="456">IF(AD394&gt;0,AD394,IF(AB394&gt;0,AB394,0))</f>
        <v>0</v>
      </c>
      <c r="AF394" s="366" t="s">
        <v>1669</v>
      </c>
      <c r="AG394" s="358"/>
      <c r="AH394" s="359"/>
      <c r="AI394" s="360"/>
      <c r="AJ394" s="360"/>
      <c r="AK394" s="360" t="str">
        <f t="shared" ref="AK394:AK408" si="457">CONCATENATE(M394,T394,Z394)</f>
        <v/>
      </c>
      <c r="AL394" s="18"/>
      <c r="AM394" s="360" t="e">
        <f t="shared" ref="AM394:AM398" si="458">IF(N394=0,"3",IF(N394&lt;=2018,"2","1"))</f>
        <v>#VALUE!</v>
      </c>
      <c r="AN394" s="360" t="str">
        <f t="shared" ref="AN394:AN398" si="459">IF(S394&gt;0,"1","2")</f>
        <v>2</v>
      </c>
      <c r="AO394" s="360"/>
      <c r="AP394" s="346" t="str">
        <f t="shared" ref="AP394:AP398" si="460">IF(Y394&gt;0,"1",IF(AE394&gt;0,"1","2"))</f>
        <v>2</v>
      </c>
      <c r="AQ394" s="360" t="e">
        <f t="shared" ref="AQ394:AQ398" si="461">CONCATENATE(AM394,".",AN394,".",AO394,".",AP394)</f>
        <v>#VALUE!</v>
      </c>
      <c r="AR394" s="530"/>
      <c r="AS394" s="360"/>
      <c r="AT394" s="362"/>
      <c r="AU394" s="362"/>
      <c r="AV394" s="362"/>
      <c r="AW394" s="362"/>
      <c r="AX394" s="362"/>
      <c r="AY394" s="362"/>
      <c r="AZ394" s="362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</row>
    <row r="395" spans="1:68" ht="20.25" customHeight="1">
      <c r="A395" s="100">
        <v>71</v>
      </c>
      <c r="B395" s="100" t="s">
        <v>58</v>
      </c>
      <c r="C395" s="100" t="s">
        <v>2304</v>
      </c>
      <c r="D395" s="102" t="s">
        <v>737</v>
      </c>
      <c r="E395" s="100" t="str">
        <f t="shared" si="300"/>
        <v>Sama</v>
      </c>
      <c r="F395" s="63">
        <f>SUBTOTAL(3,$G$7:G396)</f>
        <v>367</v>
      </c>
      <c r="G395" s="63">
        <v>3</v>
      </c>
      <c r="H395" s="64" t="s">
        <v>58</v>
      </c>
      <c r="I395" s="64" t="s">
        <v>737</v>
      </c>
      <c r="J395" s="84">
        <v>1083.6957029573994</v>
      </c>
      <c r="K395" s="533" t="s">
        <v>91</v>
      </c>
      <c r="L395" s="68">
        <f>AE395</f>
        <v>1206.7</v>
      </c>
      <c r="M395" s="63"/>
      <c r="N395" s="392">
        <f t="shared" si="453"/>
        <v>2013</v>
      </c>
      <c r="O395" s="382" t="s">
        <v>1672</v>
      </c>
      <c r="P395" s="68">
        <v>556</v>
      </c>
      <c r="Q395" s="68">
        <v>0</v>
      </c>
      <c r="R395" s="68">
        <v>556</v>
      </c>
      <c r="S395" s="68">
        <f t="shared" si="454"/>
        <v>556</v>
      </c>
      <c r="T395" s="63"/>
      <c r="U395" s="531" t="s">
        <v>1673</v>
      </c>
      <c r="V395" s="370"/>
      <c r="W395" s="370"/>
      <c r="X395" s="370"/>
      <c r="Y395" s="68">
        <f t="shared" si="455"/>
        <v>0</v>
      </c>
      <c r="Z395" s="345" t="s">
        <v>1076</v>
      </c>
      <c r="AA395" s="531" t="s">
        <v>738</v>
      </c>
      <c r="AB395" s="345">
        <v>1202.8900000000001</v>
      </c>
      <c r="AC395" s="345">
        <v>3.81</v>
      </c>
      <c r="AD395" s="345">
        <v>1206.7</v>
      </c>
      <c r="AE395" s="68">
        <f t="shared" si="456"/>
        <v>1206.7</v>
      </c>
      <c r="AF395" s="364">
        <v>2022</v>
      </c>
      <c r="AG395" s="344"/>
      <c r="AH395" s="84"/>
      <c r="AI395" s="63"/>
      <c r="AJ395" s="63"/>
      <c r="AK395" s="63" t="str">
        <f t="shared" si="457"/>
        <v>V</v>
      </c>
      <c r="AL395" s="47"/>
      <c r="AM395" s="63" t="str">
        <f t="shared" si="458"/>
        <v>2</v>
      </c>
      <c r="AN395" s="63" t="str">
        <f t="shared" si="459"/>
        <v>1</v>
      </c>
      <c r="AO395" s="63"/>
      <c r="AP395" s="346" t="str">
        <f t="shared" si="460"/>
        <v>1</v>
      </c>
      <c r="AQ395" s="63" t="str">
        <f t="shared" si="461"/>
        <v>2.1..1</v>
      </c>
      <c r="AR395" s="534"/>
      <c r="AS395" s="64" t="s">
        <v>2305</v>
      </c>
      <c r="AT395" s="95">
        <v>1083.7</v>
      </c>
      <c r="AU395" s="95">
        <v>1206.7</v>
      </c>
      <c r="AV395" s="371">
        <f>AU395/AT395</f>
        <v>1.1135000461382301</v>
      </c>
      <c r="AW395" s="95">
        <v>963.63</v>
      </c>
      <c r="AX395" s="371">
        <f>AW395/AT395</f>
        <v>0.88920365414782687</v>
      </c>
      <c r="AY395" s="95">
        <v>120.06</v>
      </c>
      <c r="AZ395" s="371">
        <f>AY395/AT395</f>
        <v>0.1107871182061456</v>
      </c>
      <c r="BA395" s="47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</row>
    <row r="396" spans="1:68" ht="20.25" customHeight="1">
      <c r="A396" s="100">
        <v>71</v>
      </c>
      <c r="B396" s="100" t="s">
        <v>58</v>
      </c>
      <c r="C396" s="100" t="s">
        <v>2306</v>
      </c>
      <c r="D396" s="102" t="s">
        <v>739</v>
      </c>
      <c r="E396" s="100" t="str">
        <f t="shared" si="300"/>
        <v>Sama</v>
      </c>
      <c r="F396" s="63">
        <f t="shared" ref="F396:F408" si="462">SUBTOTAL(3,$G$7:G396)</f>
        <v>367</v>
      </c>
      <c r="G396" s="63">
        <v>2</v>
      </c>
      <c r="H396" s="64" t="s">
        <v>58</v>
      </c>
      <c r="I396" s="64" t="s">
        <v>739</v>
      </c>
      <c r="J396" s="84">
        <v>1555.158245824789</v>
      </c>
      <c r="K396" s="533" t="s">
        <v>661</v>
      </c>
      <c r="L396" s="68">
        <f t="shared" ref="L396:L398" si="463">IF(S396&gt;0,S396,IF(Y396&gt;0,Y396,IF(AE396&gt;0,AE396,0)))</f>
        <v>0</v>
      </c>
      <c r="M396" s="387"/>
      <c r="N396" s="427" t="e">
        <f t="shared" si="453"/>
        <v>#VALUE!</v>
      </c>
      <c r="O396" s="428"/>
      <c r="P396" s="388"/>
      <c r="Q396" s="388"/>
      <c r="R396" s="388"/>
      <c r="S396" s="68">
        <f t="shared" si="454"/>
        <v>0</v>
      </c>
      <c r="T396" s="387"/>
      <c r="U396" s="389"/>
      <c r="V396" s="390"/>
      <c r="W396" s="390"/>
      <c r="X396" s="390"/>
      <c r="Y396" s="68">
        <f t="shared" si="455"/>
        <v>0</v>
      </c>
      <c r="Z396" s="391"/>
      <c r="AA396" s="389"/>
      <c r="AB396" s="391"/>
      <c r="AC396" s="391"/>
      <c r="AD396" s="391"/>
      <c r="AE396" s="68">
        <f t="shared" si="456"/>
        <v>0</v>
      </c>
      <c r="AF396" s="366" t="s">
        <v>1669</v>
      </c>
      <c r="AG396" s="358"/>
      <c r="AH396" s="359"/>
      <c r="AI396" s="360"/>
      <c r="AJ396" s="360"/>
      <c r="AK396" s="360" t="str">
        <f t="shared" si="457"/>
        <v/>
      </c>
      <c r="AL396" s="18"/>
      <c r="AM396" s="360" t="e">
        <f t="shared" si="458"/>
        <v>#VALUE!</v>
      </c>
      <c r="AN396" s="360" t="str">
        <f t="shared" si="459"/>
        <v>2</v>
      </c>
      <c r="AO396" s="360"/>
      <c r="AP396" s="346" t="str">
        <f t="shared" si="460"/>
        <v>2</v>
      </c>
      <c r="AQ396" s="360" t="e">
        <f t="shared" si="461"/>
        <v>#VALUE!</v>
      </c>
      <c r="AR396" s="530"/>
      <c r="AS396" s="360"/>
      <c r="AT396" s="362"/>
      <c r="AU396" s="362"/>
      <c r="AV396" s="362"/>
      <c r="AW396" s="362"/>
      <c r="AX396" s="362"/>
      <c r="AY396" s="362"/>
      <c r="AZ396" s="362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</row>
    <row r="397" spans="1:68" ht="20.25" customHeight="1">
      <c r="A397" s="100">
        <v>71</v>
      </c>
      <c r="B397" s="100" t="s">
        <v>58</v>
      </c>
      <c r="C397" s="100" t="s">
        <v>2307</v>
      </c>
      <c r="D397" s="102" t="s">
        <v>741</v>
      </c>
      <c r="E397" s="100" t="str">
        <f t="shared" si="300"/>
        <v>Sama</v>
      </c>
      <c r="F397" s="63">
        <f t="shared" si="462"/>
        <v>368</v>
      </c>
      <c r="G397" s="63">
        <v>4</v>
      </c>
      <c r="H397" s="64" t="s">
        <v>58</v>
      </c>
      <c r="I397" s="64" t="s">
        <v>741</v>
      </c>
      <c r="J397" s="84">
        <v>3829.8114363590885</v>
      </c>
      <c r="K397" s="533" t="s">
        <v>91</v>
      </c>
      <c r="L397" s="68">
        <f t="shared" si="463"/>
        <v>13724</v>
      </c>
      <c r="M397" s="63"/>
      <c r="N397" s="392">
        <f t="shared" si="453"/>
        <v>2013</v>
      </c>
      <c r="O397" s="382" t="s">
        <v>875</v>
      </c>
      <c r="P397" s="68">
        <v>13724</v>
      </c>
      <c r="Q397" s="68">
        <v>0</v>
      </c>
      <c r="R397" s="68">
        <v>13724</v>
      </c>
      <c r="S397" s="68">
        <f t="shared" si="454"/>
        <v>13724</v>
      </c>
      <c r="T397" s="63"/>
      <c r="U397" s="347"/>
      <c r="V397" s="370"/>
      <c r="W397" s="370"/>
      <c r="X397" s="370"/>
      <c r="Y397" s="68">
        <f t="shared" si="455"/>
        <v>0</v>
      </c>
      <c r="Z397" s="345" t="s">
        <v>1076</v>
      </c>
      <c r="AA397" s="347" t="s">
        <v>2308</v>
      </c>
      <c r="AB397" s="345">
        <v>4091.95</v>
      </c>
      <c r="AC397" s="345">
        <v>129.15</v>
      </c>
      <c r="AD397" s="345"/>
      <c r="AE397" s="68">
        <f t="shared" si="456"/>
        <v>4091.95</v>
      </c>
      <c r="AF397" s="364">
        <v>2022</v>
      </c>
      <c r="AG397" s="344"/>
      <c r="AH397" s="84"/>
      <c r="AI397" s="63"/>
      <c r="AJ397" s="63"/>
      <c r="AK397" s="63" t="str">
        <f t="shared" si="457"/>
        <v>V</v>
      </c>
      <c r="AL397" s="47"/>
      <c r="AM397" s="63" t="str">
        <f t="shared" si="458"/>
        <v>2</v>
      </c>
      <c r="AN397" s="63" t="str">
        <f t="shared" si="459"/>
        <v>1</v>
      </c>
      <c r="AO397" s="63"/>
      <c r="AP397" s="346" t="str">
        <f t="shared" si="460"/>
        <v>1</v>
      </c>
      <c r="AQ397" s="63" t="str">
        <f t="shared" si="461"/>
        <v>2.1..1</v>
      </c>
      <c r="AR397" s="534"/>
      <c r="AS397" s="64" t="s">
        <v>2308</v>
      </c>
      <c r="AT397" s="95">
        <v>3829.81</v>
      </c>
      <c r="AU397" s="95">
        <v>4221.1000000000004</v>
      </c>
      <c r="AV397" s="371">
        <f>AU397/AT397</f>
        <v>1.1021695593253975</v>
      </c>
      <c r="AW397" s="95">
        <v>3727.18</v>
      </c>
      <c r="AX397" s="371">
        <f>AW397/AT397</f>
        <v>0.97320232596395118</v>
      </c>
      <c r="AY397" s="95">
        <v>10.43</v>
      </c>
      <c r="AZ397" s="371">
        <f>AY397/AT397</f>
        <v>2.7233726999511725E-3</v>
      </c>
      <c r="BA397" s="47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</row>
    <row r="398" spans="1:68" ht="20.25" customHeight="1">
      <c r="A398" s="100">
        <v>71</v>
      </c>
      <c r="B398" s="100" t="s">
        <v>58</v>
      </c>
      <c r="C398" s="100" t="s">
        <v>2309</v>
      </c>
      <c r="D398" s="102" t="s">
        <v>743</v>
      </c>
      <c r="E398" s="100" t="str">
        <f t="shared" si="300"/>
        <v>Sama</v>
      </c>
      <c r="F398" s="63">
        <f t="shared" si="462"/>
        <v>369</v>
      </c>
      <c r="G398" s="63">
        <v>5</v>
      </c>
      <c r="H398" s="64" t="s">
        <v>58</v>
      </c>
      <c r="I398" s="64" t="s">
        <v>743</v>
      </c>
      <c r="J398" s="84">
        <v>18.044060688986001</v>
      </c>
      <c r="K398" s="533" t="s">
        <v>661</v>
      </c>
      <c r="L398" s="68">
        <f t="shared" si="463"/>
        <v>0</v>
      </c>
      <c r="M398" s="63"/>
      <c r="N398" s="392" t="e">
        <f t="shared" si="453"/>
        <v>#VALUE!</v>
      </c>
      <c r="O398" s="382"/>
      <c r="P398" s="68"/>
      <c r="Q398" s="68"/>
      <c r="R398" s="68"/>
      <c r="S398" s="68">
        <f t="shared" si="454"/>
        <v>0</v>
      </c>
      <c r="T398" s="63"/>
      <c r="U398" s="347"/>
      <c r="V398" s="370"/>
      <c r="W398" s="370"/>
      <c r="X398" s="370"/>
      <c r="Y398" s="68">
        <f t="shared" si="455"/>
        <v>0</v>
      </c>
      <c r="Z398" s="345"/>
      <c r="AA398" s="347"/>
      <c r="AB398" s="345"/>
      <c r="AC398" s="345"/>
      <c r="AD398" s="345"/>
      <c r="AE398" s="68">
        <f t="shared" si="456"/>
        <v>0</v>
      </c>
      <c r="AF398" s="366" t="s">
        <v>1097</v>
      </c>
      <c r="AG398" s="358"/>
      <c r="AH398" s="359"/>
      <c r="AI398" s="360"/>
      <c r="AJ398" s="360"/>
      <c r="AK398" s="360" t="str">
        <f t="shared" si="457"/>
        <v/>
      </c>
      <c r="AL398" s="18"/>
      <c r="AM398" s="360" t="e">
        <f t="shared" si="458"/>
        <v>#VALUE!</v>
      </c>
      <c r="AN398" s="360" t="str">
        <f t="shared" si="459"/>
        <v>2</v>
      </c>
      <c r="AO398" s="360"/>
      <c r="AP398" s="346" t="str">
        <f t="shared" si="460"/>
        <v>2</v>
      </c>
      <c r="AQ398" s="360" t="e">
        <f t="shared" si="461"/>
        <v>#VALUE!</v>
      </c>
      <c r="AR398" s="530"/>
      <c r="AS398" s="360"/>
      <c r="AT398" s="362"/>
      <c r="AU398" s="362"/>
      <c r="AV398" s="362"/>
      <c r="AW398" s="362"/>
      <c r="AX398" s="362"/>
      <c r="AY398" s="362"/>
      <c r="AZ398" s="362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</row>
    <row r="399" spans="1:68" ht="20.25" customHeight="1">
      <c r="A399" s="100">
        <v>71</v>
      </c>
      <c r="B399" s="100" t="s">
        <v>58</v>
      </c>
      <c r="C399" s="100" t="s">
        <v>2310</v>
      </c>
      <c r="D399" s="102" t="s">
        <v>745</v>
      </c>
      <c r="E399" s="100" t="str">
        <f t="shared" si="300"/>
        <v>Sama</v>
      </c>
      <c r="F399" s="63">
        <f t="shared" si="462"/>
        <v>370</v>
      </c>
      <c r="G399" s="63">
        <v>6</v>
      </c>
      <c r="H399" s="64" t="s">
        <v>58</v>
      </c>
      <c r="I399" s="64" t="s">
        <v>745</v>
      </c>
      <c r="J399" s="84"/>
      <c r="K399" s="533"/>
      <c r="L399" s="68"/>
      <c r="M399" s="63"/>
      <c r="N399" s="392"/>
      <c r="O399" s="382"/>
      <c r="P399" s="68"/>
      <c r="Q399" s="68"/>
      <c r="R399" s="68"/>
      <c r="S399" s="68"/>
      <c r="T399" s="63"/>
      <c r="U399" s="347"/>
      <c r="V399" s="370"/>
      <c r="W399" s="370"/>
      <c r="X399" s="370"/>
      <c r="Y399" s="68"/>
      <c r="Z399" s="345"/>
      <c r="AA399" s="347"/>
      <c r="AB399" s="345"/>
      <c r="AC399" s="345"/>
      <c r="AD399" s="345"/>
      <c r="AE399" s="68"/>
      <c r="AF399" s="366"/>
      <c r="AG399" s="358"/>
      <c r="AH399" s="359"/>
      <c r="AI399" s="360"/>
      <c r="AJ399" s="360"/>
      <c r="AK399" s="360" t="str">
        <f t="shared" si="457"/>
        <v/>
      </c>
      <c r="AL399" s="18"/>
      <c r="AM399" s="360"/>
      <c r="AN399" s="360"/>
      <c r="AO399" s="360"/>
      <c r="AP399" s="346"/>
      <c r="AQ399" s="360"/>
      <c r="AR399" s="530"/>
      <c r="AS399" s="360"/>
      <c r="AT399" s="362"/>
      <c r="AU399" s="362"/>
      <c r="AV399" s="362"/>
      <c r="AW399" s="362"/>
      <c r="AX399" s="362"/>
      <c r="AY399" s="362"/>
      <c r="AZ399" s="362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</row>
    <row r="400" spans="1:68" ht="20.25" customHeight="1">
      <c r="A400" s="100">
        <v>71</v>
      </c>
      <c r="B400" s="100" t="s">
        <v>58</v>
      </c>
      <c r="C400" s="100" t="s">
        <v>2311</v>
      </c>
      <c r="D400" s="102" t="s">
        <v>746</v>
      </c>
      <c r="E400" s="100" t="str">
        <f t="shared" si="300"/>
        <v>Sama</v>
      </c>
      <c r="F400" s="63">
        <f t="shared" si="462"/>
        <v>371</v>
      </c>
      <c r="G400" s="63">
        <v>7</v>
      </c>
      <c r="H400" s="64" t="s">
        <v>58</v>
      </c>
      <c r="I400" s="64" t="s">
        <v>746</v>
      </c>
      <c r="J400" s="84">
        <v>249.08767930159982</v>
      </c>
      <c r="K400" s="533" t="s">
        <v>104</v>
      </c>
      <c r="L400" s="68">
        <f t="shared" ref="L400:L405" si="464">IF(S400&gt;0,S400,IF(Y400&gt;0,Y400,IF(AE400&gt;0,AE400,0)))</f>
        <v>22093</v>
      </c>
      <c r="M400" s="63"/>
      <c r="N400" s="392">
        <f t="shared" ref="N400:N408" si="465">VALUE(RIGHT(O400,4))</f>
        <v>2014</v>
      </c>
      <c r="O400" s="382" t="s">
        <v>321</v>
      </c>
      <c r="P400" s="68">
        <v>22093</v>
      </c>
      <c r="Q400" s="68">
        <v>0</v>
      </c>
      <c r="R400" s="68">
        <v>22093</v>
      </c>
      <c r="S400" s="68">
        <f t="shared" ref="S400:S408" si="466">IF(R400&gt;0,R400,IF(P400&gt;0,P400,0))</f>
        <v>22093</v>
      </c>
      <c r="T400" s="63"/>
      <c r="U400" s="347"/>
      <c r="V400" s="370"/>
      <c r="W400" s="370"/>
      <c r="X400" s="370"/>
      <c r="Y400" s="68">
        <f t="shared" ref="Y400:Y408" si="467">IF(X400&gt;0,X400,IF(V400&gt;0,V400,0))</f>
        <v>0</v>
      </c>
      <c r="Z400" s="345"/>
      <c r="AA400" s="347"/>
      <c r="AB400" s="345"/>
      <c r="AC400" s="345"/>
      <c r="AD400" s="345"/>
      <c r="AE400" s="68">
        <f t="shared" ref="AE400:AE408" si="468">IF(AD400&gt;0,AD400,IF(AB400&gt;0,AB400,0))</f>
        <v>0</v>
      </c>
      <c r="AF400" s="366" t="s">
        <v>1097</v>
      </c>
      <c r="AG400" s="358"/>
      <c r="AH400" s="359"/>
      <c r="AI400" s="360"/>
      <c r="AJ400" s="360"/>
      <c r="AK400" s="360" t="str">
        <f t="shared" si="457"/>
        <v/>
      </c>
      <c r="AL400" s="18"/>
      <c r="AM400" s="360" t="str">
        <f t="shared" ref="AM400:AM408" si="469">IF(N400=0,"3",IF(N400&lt;=2018,"2","1"))</f>
        <v>2</v>
      </c>
      <c r="AN400" s="360" t="str">
        <f t="shared" ref="AN400:AN408" si="470">IF(S400&gt;0,"1","2")</f>
        <v>1</v>
      </c>
      <c r="AO400" s="360"/>
      <c r="AP400" s="346" t="str">
        <f t="shared" ref="AP400:AP408" si="471">IF(Y400&gt;0,"1",IF(AE400&gt;0,"1","2"))</f>
        <v>2</v>
      </c>
      <c r="AQ400" s="360" t="str">
        <f t="shared" ref="AQ400:AQ408" si="472">CONCATENATE(AM400,".",AN400,".",AO400,".",AP400)</f>
        <v>2.1..2</v>
      </c>
      <c r="AR400" s="530"/>
      <c r="AS400" s="360"/>
      <c r="AT400" s="362"/>
      <c r="AU400" s="362"/>
      <c r="AV400" s="362"/>
      <c r="AW400" s="362"/>
      <c r="AX400" s="362"/>
      <c r="AY400" s="362"/>
      <c r="AZ400" s="362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</row>
    <row r="401" spans="1:68" ht="20.25" customHeight="1">
      <c r="A401" s="100">
        <v>71</v>
      </c>
      <c r="B401" s="100" t="s">
        <v>58</v>
      </c>
      <c r="C401" s="100" t="s">
        <v>2312</v>
      </c>
      <c r="D401" s="102" t="s">
        <v>747</v>
      </c>
      <c r="E401" s="100" t="str">
        <f t="shared" si="300"/>
        <v>Sama</v>
      </c>
      <c r="F401" s="63">
        <f t="shared" si="462"/>
        <v>372</v>
      </c>
      <c r="G401" s="63">
        <v>8</v>
      </c>
      <c r="H401" s="64" t="s">
        <v>58</v>
      </c>
      <c r="I401" s="64" t="s">
        <v>747</v>
      </c>
      <c r="J401" s="84">
        <v>79.044381817767984</v>
      </c>
      <c r="K401" s="533" t="s">
        <v>104</v>
      </c>
      <c r="L401" s="68">
        <f t="shared" si="464"/>
        <v>180</v>
      </c>
      <c r="M401" s="63"/>
      <c r="N401" s="392">
        <f t="shared" si="465"/>
        <v>2013</v>
      </c>
      <c r="O401" s="382" t="s">
        <v>748</v>
      </c>
      <c r="P401" s="68">
        <v>180</v>
      </c>
      <c r="Q401" s="68">
        <v>0</v>
      </c>
      <c r="R401" s="68">
        <v>180</v>
      </c>
      <c r="S401" s="68">
        <f t="shared" si="466"/>
        <v>180</v>
      </c>
      <c r="T401" s="63"/>
      <c r="U401" s="347"/>
      <c r="V401" s="370"/>
      <c r="W401" s="370"/>
      <c r="X401" s="370"/>
      <c r="Y401" s="68">
        <f t="shared" si="467"/>
        <v>0</v>
      </c>
      <c r="Z401" s="345"/>
      <c r="AA401" s="347"/>
      <c r="AB401" s="345"/>
      <c r="AC401" s="345"/>
      <c r="AD401" s="345"/>
      <c r="AE401" s="68">
        <f t="shared" si="468"/>
        <v>0</v>
      </c>
      <c r="AF401" s="366" t="s">
        <v>1097</v>
      </c>
      <c r="AG401" s="358"/>
      <c r="AH401" s="359"/>
      <c r="AI401" s="360"/>
      <c r="AJ401" s="360"/>
      <c r="AK401" s="360" t="str">
        <f t="shared" si="457"/>
        <v/>
      </c>
      <c r="AL401" s="18"/>
      <c r="AM401" s="360" t="str">
        <f t="shared" si="469"/>
        <v>2</v>
      </c>
      <c r="AN401" s="360" t="str">
        <f t="shared" si="470"/>
        <v>1</v>
      </c>
      <c r="AO401" s="360"/>
      <c r="AP401" s="346" t="str">
        <f t="shared" si="471"/>
        <v>2</v>
      </c>
      <c r="AQ401" s="360" t="str">
        <f t="shared" si="472"/>
        <v>2.1..2</v>
      </c>
      <c r="AR401" s="530"/>
      <c r="AS401" s="360"/>
      <c r="AT401" s="362"/>
      <c r="AU401" s="362"/>
      <c r="AV401" s="362"/>
      <c r="AW401" s="362"/>
      <c r="AX401" s="362"/>
      <c r="AY401" s="362"/>
      <c r="AZ401" s="362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</row>
    <row r="402" spans="1:68" ht="20.25" customHeight="1">
      <c r="A402" s="100">
        <v>71</v>
      </c>
      <c r="B402" s="100" t="s">
        <v>58</v>
      </c>
      <c r="C402" s="100" t="s">
        <v>2313</v>
      </c>
      <c r="D402" s="102" t="s">
        <v>749</v>
      </c>
      <c r="E402" s="100" t="str">
        <f t="shared" si="300"/>
        <v>Sama</v>
      </c>
      <c r="F402" s="63">
        <f t="shared" si="462"/>
        <v>373</v>
      </c>
      <c r="G402" s="63">
        <v>9</v>
      </c>
      <c r="H402" s="64" t="s">
        <v>58</v>
      </c>
      <c r="I402" s="64" t="s">
        <v>749</v>
      </c>
      <c r="J402" s="84">
        <v>2135.7595373827148</v>
      </c>
      <c r="K402" s="533" t="s">
        <v>104</v>
      </c>
      <c r="L402" s="68">
        <f t="shared" si="464"/>
        <v>1271.1400000000001</v>
      </c>
      <c r="M402" s="63"/>
      <c r="N402" s="392">
        <f t="shared" si="465"/>
        <v>2014</v>
      </c>
      <c r="O402" s="382" t="s">
        <v>444</v>
      </c>
      <c r="P402" s="68">
        <v>1271.1400000000001</v>
      </c>
      <c r="Q402" s="68">
        <v>0</v>
      </c>
      <c r="R402" s="68">
        <v>1271.1400000000001</v>
      </c>
      <c r="S402" s="68">
        <f t="shared" si="466"/>
        <v>1271.1400000000001</v>
      </c>
      <c r="T402" s="63"/>
      <c r="U402" s="347"/>
      <c r="V402" s="370"/>
      <c r="W402" s="370"/>
      <c r="X402" s="370"/>
      <c r="Y402" s="68">
        <f t="shared" si="467"/>
        <v>0</v>
      </c>
      <c r="Z402" s="345"/>
      <c r="AA402" s="347"/>
      <c r="AB402" s="345"/>
      <c r="AC402" s="345"/>
      <c r="AD402" s="345"/>
      <c r="AE402" s="68">
        <f t="shared" si="468"/>
        <v>0</v>
      </c>
      <c r="AF402" s="366" t="s">
        <v>1097</v>
      </c>
      <c r="AG402" s="358"/>
      <c r="AH402" s="359"/>
      <c r="AI402" s="360"/>
      <c r="AJ402" s="360"/>
      <c r="AK402" s="360" t="str">
        <f t="shared" si="457"/>
        <v/>
      </c>
      <c r="AL402" s="18"/>
      <c r="AM402" s="360" t="str">
        <f t="shared" si="469"/>
        <v>2</v>
      </c>
      <c r="AN402" s="360" t="str">
        <f t="shared" si="470"/>
        <v>1</v>
      </c>
      <c r="AO402" s="360"/>
      <c r="AP402" s="346" t="str">
        <f t="shared" si="471"/>
        <v>2</v>
      </c>
      <c r="AQ402" s="360" t="str">
        <f t="shared" si="472"/>
        <v>2.1..2</v>
      </c>
      <c r="AR402" s="530"/>
      <c r="AS402" s="360"/>
      <c r="AT402" s="362"/>
      <c r="AU402" s="362"/>
      <c r="AV402" s="362"/>
      <c r="AW402" s="362"/>
      <c r="AX402" s="362"/>
      <c r="AY402" s="362"/>
      <c r="AZ402" s="362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</row>
    <row r="403" spans="1:68" ht="20.25" customHeight="1">
      <c r="A403" s="100">
        <v>71</v>
      </c>
      <c r="B403" s="100" t="s">
        <v>58</v>
      </c>
      <c r="C403" s="100" t="s">
        <v>2314</v>
      </c>
      <c r="D403" s="102" t="s">
        <v>750</v>
      </c>
      <c r="E403" s="100" t="str">
        <f t="shared" si="300"/>
        <v>Sama</v>
      </c>
      <c r="F403" s="63">
        <f t="shared" si="462"/>
        <v>374</v>
      </c>
      <c r="G403" s="63">
        <v>10</v>
      </c>
      <c r="H403" s="64" t="s">
        <v>58</v>
      </c>
      <c r="I403" s="64" t="s">
        <v>750</v>
      </c>
      <c r="J403" s="84">
        <v>54.025234779304995</v>
      </c>
      <c r="K403" s="533" t="s">
        <v>661</v>
      </c>
      <c r="L403" s="68">
        <f t="shared" si="464"/>
        <v>0</v>
      </c>
      <c r="M403" s="63"/>
      <c r="N403" s="392" t="e">
        <f t="shared" si="465"/>
        <v>#VALUE!</v>
      </c>
      <c r="O403" s="382"/>
      <c r="P403" s="68"/>
      <c r="Q403" s="68"/>
      <c r="R403" s="68"/>
      <c r="S403" s="68">
        <f t="shared" si="466"/>
        <v>0</v>
      </c>
      <c r="T403" s="63"/>
      <c r="U403" s="347"/>
      <c r="V403" s="370"/>
      <c r="W403" s="370"/>
      <c r="X403" s="370"/>
      <c r="Y403" s="68">
        <f t="shared" si="467"/>
        <v>0</v>
      </c>
      <c r="Z403" s="345"/>
      <c r="AA403" s="347"/>
      <c r="AB403" s="345"/>
      <c r="AC403" s="345"/>
      <c r="AD403" s="345"/>
      <c r="AE403" s="68">
        <f t="shared" si="468"/>
        <v>0</v>
      </c>
      <c r="AF403" s="366" t="s">
        <v>1097</v>
      </c>
      <c r="AG403" s="358"/>
      <c r="AH403" s="359"/>
      <c r="AI403" s="360"/>
      <c r="AJ403" s="360"/>
      <c r="AK403" s="360" t="str">
        <f t="shared" si="457"/>
        <v/>
      </c>
      <c r="AL403" s="18"/>
      <c r="AM403" s="360" t="e">
        <f t="shared" si="469"/>
        <v>#VALUE!</v>
      </c>
      <c r="AN403" s="360" t="str">
        <f t="shared" si="470"/>
        <v>2</v>
      </c>
      <c r="AO403" s="360"/>
      <c r="AP403" s="346" t="str">
        <f t="shared" si="471"/>
        <v>2</v>
      </c>
      <c r="AQ403" s="360" t="e">
        <f t="shared" si="472"/>
        <v>#VALUE!</v>
      </c>
      <c r="AR403" s="530"/>
      <c r="AS403" s="360"/>
      <c r="AT403" s="362"/>
      <c r="AU403" s="362"/>
      <c r="AV403" s="362"/>
      <c r="AW403" s="362"/>
      <c r="AX403" s="362"/>
      <c r="AY403" s="362"/>
      <c r="AZ403" s="362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</row>
    <row r="404" spans="1:68" ht="20.25" customHeight="1">
      <c r="A404" s="100">
        <v>71</v>
      </c>
      <c r="B404" s="100" t="s">
        <v>58</v>
      </c>
      <c r="C404" s="100" t="s">
        <v>2315</v>
      </c>
      <c r="D404" s="102" t="s">
        <v>751</v>
      </c>
      <c r="E404" s="100" t="str">
        <f t="shared" si="300"/>
        <v>Sama</v>
      </c>
      <c r="F404" s="63">
        <f t="shared" si="462"/>
        <v>375</v>
      </c>
      <c r="G404" s="63">
        <v>11</v>
      </c>
      <c r="H404" s="64" t="s">
        <v>58</v>
      </c>
      <c r="I404" s="64" t="s">
        <v>751</v>
      </c>
      <c r="J404" s="84">
        <v>957.04143007417963</v>
      </c>
      <c r="K404" s="533" t="s">
        <v>661</v>
      </c>
      <c r="L404" s="68">
        <f t="shared" si="464"/>
        <v>0</v>
      </c>
      <c r="M404" s="63"/>
      <c r="N404" s="392" t="e">
        <f t="shared" si="465"/>
        <v>#VALUE!</v>
      </c>
      <c r="O404" s="382"/>
      <c r="P404" s="68"/>
      <c r="Q404" s="68"/>
      <c r="R404" s="68"/>
      <c r="S404" s="68">
        <f t="shared" si="466"/>
        <v>0</v>
      </c>
      <c r="T404" s="63"/>
      <c r="U404" s="347"/>
      <c r="V404" s="370"/>
      <c r="W404" s="370"/>
      <c r="X404" s="370"/>
      <c r="Y404" s="68">
        <f t="shared" si="467"/>
        <v>0</v>
      </c>
      <c r="Z404" s="345"/>
      <c r="AA404" s="347"/>
      <c r="AB404" s="345"/>
      <c r="AC404" s="345"/>
      <c r="AD404" s="345"/>
      <c r="AE404" s="68">
        <f t="shared" si="468"/>
        <v>0</v>
      </c>
      <c r="AF404" s="366" t="s">
        <v>1097</v>
      </c>
      <c r="AG404" s="358"/>
      <c r="AH404" s="359"/>
      <c r="AI404" s="360"/>
      <c r="AJ404" s="360"/>
      <c r="AK404" s="360" t="str">
        <f t="shared" si="457"/>
        <v/>
      </c>
      <c r="AL404" s="18"/>
      <c r="AM404" s="360" t="e">
        <f t="shared" si="469"/>
        <v>#VALUE!</v>
      </c>
      <c r="AN404" s="360" t="str">
        <f t="shared" si="470"/>
        <v>2</v>
      </c>
      <c r="AO404" s="360"/>
      <c r="AP404" s="346" t="str">
        <f t="shared" si="471"/>
        <v>2</v>
      </c>
      <c r="AQ404" s="360" t="e">
        <f t="shared" si="472"/>
        <v>#VALUE!</v>
      </c>
      <c r="AR404" s="530"/>
      <c r="AS404" s="360"/>
      <c r="AT404" s="362"/>
      <c r="AU404" s="362"/>
      <c r="AV404" s="362"/>
      <c r="AW404" s="362"/>
      <c r="AX404" s="362"/>
      <c r="AY404" s="362"/>
      <c r="AZ404" s="362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</row>
    <row r="405" spans="1:68" ht="20.25" customHeight="1">
      <c r="A405" s="100">
        <v>71</v>
      </c>
      <c r="B405" s="100" t="s">
        <v>58</v>
      </c>
      <c r="C405" s="100" t="s">
        <v>2316</v>
      </c>
      <c r="D405" s="102" t="s">
        <v>753</v>
      </c>
      <c r="E405" s="100" t="str">
        <f t="shared" si="300"/>
        <v>Sama</v>
      </c>
      <c r="F405" s="63">
        <f t="shared" si="462"/>
        <v>376</v>
      </c>
      <c r="G405" s="63">
        <v>12</v>
      </c>
      <c r="H405" s="64" t="s">
        <v>58</v>
      </c>
      <c r="I405" s="64" t="s">
        <v>753</v>
      </c>
      <c r="J405" s="84">
        <v>7171.5795642407129</v>
      </c>
      <c r="K405" s="533" t="s">
        <v>661</v>
      </c>
      <c r="L405" s="68">
        <f t="shared" si="464"/>
        <v>0</v>
      </c>
      <c r="M405" s="63"/>
      <c r="N405" s="392" t="e">
        <f t="shared" si="465"/>
        <v>#VALUE!</v>
      </c>
      <c r="O405" s="382"/>
      <c r="P405" s="68"/>
      <c r="Q405" s="68"/>
      <c r="R405" s="68"/>
      <c r="S405" s="68">
        <f t="shared" si="466"/>
        <v>0</v>
      </c>
      <c r="T405" s="63"/>
      <c r="U405" s="347"/>
      <c r="V405" s="370"/>
      <c r="W405" s="370"/>
      <c r="X405" s="370"/>
      <c r="Y405" s="68">
        <f t="shared" si="467"/>
        <v>0</v>
      </c>
      <c r="Z405" s="345"/>
      <c r="AA405" s="347"/>
      <c r="AB405" s="345"/>
      <c r="AC405" s="345"/>
      <c r="AD405" s="345"/>
      <c r="AE405" s="68">
        <f t="shared" si="468"/>
        <v>0</v>
      </c>
      <c r="AF405" s="366" t="s">
        <v>1129</v>
      </c>
      <c r="AG405" s="358" t="s">
        <v>1090</v>
      </c>
      <c r="AH405" s="359"/>
      <c r="AI405" s="360"/>
      <c r="AJ405" s="360"/>
      <c r="AK405" s="360" t="str">
        <f t="shared" si="457"/>
        <v/>
      </c>
      <c r="AL405" s="18"/>
      <c r="AM405" s="360" t="e">
        <f t="shared" si="469"/>
        <v>#VALUE!</v>
      </c>
      <c r="AN405" s="360" t="str">
        <f t="shared" si="470"/>
        <v>2</v>
      </c>
      <c r="AO405" s="360"/>
      <c r="AP405" s="346" t="str">
        <f t="shared" si="471"/>
        <v>2</v>
      </c>
      <c r="AQ405" s="360" t="e">
        <f t="shared" si="472"/>
        <v>#VALUE!</v>
      </c>
      <c r="AR405" s="530"/>
      <c r="AS405" s="360"/>
      <c r="AT405" s="362"/>
      <c r="AU405" s="362"/>
      <c r="AV405" s="362"/>
      <c r="AW405" s="362"/>
      <c r="AX405" s="362"/>
      <c r="AY405" s="362"/>
      <c r="AZ405" s="362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</row>
    <row r="406" spans="1:68" ht="20.25" customHeight="1">
      <c r="A406" s="100">
        <v>71</v>
      </c>
      <c r="B406" s="100" t="s">
        <v>58</v>
      </c>
      <c r="C406" s="100" t="s">
        <v>2317</v>
      </c>
      <c r="D406" s="102" t="s">
        <v>754</v>
      </c>
      <c r="E406" s="100" t="str">
        <f t="shared" si="300"/>
        <v>Sama</v>
      </c>
      <c r="F406" s="63">
        <f t="shared" si="462"/>
        <v>377</v>
      </c>
      <c r="G406" s="63">
        <v>13</v>
      </c>
      <c r="H406" s="64" t="s">
        <v>58</v>
      </c>
      <c r="I406" s="64" t="s">
        <v>754</v>
      </c>
      <c r="J406" s="84">
        <v>5346.950586863758</v>
      </c>
      <c r="K406" s="533" t="s">
        <v>91</v>
      </c>
      <c r="L406" s="68">
        <f>AE406</f>
        <v>3851.45</v>
      </c>
      <c r="M406" s="63"/>
      <c r="N406" s="392">
        <f t="shared" si="465"/>
        <v>2014</v>
      </c>
      <c r="O406" s="382" t="s">
        <v>729</v>
      </c>
      <c r="P406" s="68">
        <v>11144</v>
      </c>
      <c r="Q406" s="68">
        <v>0</v>
      </c>
      <c r="R406" s="68">
        <v>11144</v>
      </c>
      <c r="S406" s="68">
        <f t="shared" si="466"/>
        <v>11144</v>
      </c>
      <c r="T406" s="63"/>
      <c r="U406" s="347"/>
      <c r="V406" s="370"/>
      <c r="W406" s="370"/>
      <c r="X406" s="370"/>
      <c r="Y406" s="68">
        <f t="shared" si="467"/>
        <v>0</v>
      </c>
      <c r="Z406" s="345" t="s">
        <v>1076</v>
      </c>
      <c r="AA406" s="531" t="s">
        <v>1683</v>
      </c>
      <c r="AB406" s="345">
        <v>3041.27</v>
      </c>
      <c r="AC406" s="345">
        <v>777.64</v>
      </c>
      <c r="AD406" s="345">
        <v>3851.45</v>
      </c>
      <c r="AE406" s="68">
        <f t="shared" si="468"/>
        <v>3851.45</v>
      </c>
      <c r="AF406" s="364">
        <v>2022</v>
      </c>
      <c r="AG406" s="344"/>
      <c r="AH406" s="84"/>
      <c r="AI406" s="63"/>
      <c r="AJ406" s="63"/>
      <c r="AK406" s="63" t="str">
        <f t="shared" si="457"/>
        <v>V</v>
      </c>
      <c r="AL406" s="47"/>
      <c r="AM406" s="63" t="str">
        <f t="shared" si="469"/>
        <v>2</v>
      </c>
      <c r="AN406" s="63" t="str">
        <f t="shared" si="470"/>
        <v>1</v>
      </c>
      <c r="AO406" s="63"/>
      <c r="AP406" s="346" t="str">
        <f t="shared" si="471"/>
        <v>1</v>
      </c>
      <c r="AQ406" s="63" t="str">
        <f t="shared" si="472"/>
        <v>2.1..1</v>
      </c>
      <c r="AR406" s="534"/>
      <c r="AS406" s="347"/>
      <c r="AT406" s="95"/>
      <c r="AU406" s="95"/>
      <c r="AV406" s="371" t="e">
        <f>AU406/AT406</f>
        <v>#DIV/0!</v>
      </c>
      <c r="AW406" s="378"/>
      <c r="AX406" s="377" t="e">
        <f>AW406/AT406</f>
        <v>#DIV/0!</v>
      </c>
      <c r="AY406" s="378"/>
      <c r="AZ406" s="377" t="e">
        <f>AY406/AT406</f>
        <v>#DIV/0!</v>
      </c>
      <c r="BA406" s="47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</row>
    <row r="407" spans="1:68" ht="20.25" customHeight="1">
      <c r="A407" s="100">
        <v>71</v>
      </c>
      <c r="B407" s="100" t="s">
        <v>58</v>
      </c>
      <c r="C407" s="100" t="s">
        <v>2318</v>
      </c>
      <c r="D407" s="102" t="s">
        <v>756</v>
      </c>
      <c r="E407" s="100" t="str">
        <f t="shared" si="300"/>
        <v>Sama</v>
      </c>
      <c r="F407" s="63">
        <f t="shared" si="462"/>
        <v>378</v>
      </c>
      <c r="G407" s="63">
        <v>14</v>
      </c>
      <c r="H407" s="64" t="s">
        <v>58</v>
      </c>
      <c r="I407" s="64" t="s">
        <v>756</v>
      </c>
      <c r="J407" s="84">
        <v>2191.5111952768452</v>
      </c>
      <c r="K407" s="533" t="s">
        <v>661</v>
      </c>
      <c r="L407" s="68">
        <f t="shared" ref="L407:L408" si="473">IF(S407&gt;0,S407,IF(Y407&gt;0,Y407,IF(AE407&gt;0,AE407,0)))</f>
        <v>0</v>
      </c>
      <c r="M407" s="63"/>
      <c r="N407" s="392" t="e">
        <f t="shared" si="465"/>
        <v>#VALUE!</v>
      </c>
      <c r="O407" s="382"/>
      <c r="P407" s="68"/>
      <c r="Q407" s="68"/>
      <c r="R407" s="68"/>
      <c r="S407" s="68">
        <f t="shared" si="466"/>
        <v>0</v>
      </c>
      <c r="T407" s="63"/>
      <c r="U407" s="347"/>
      <c r="V407" s="370"/>
      <c r="W407" s="370"/>
      <c r="X407" s="370"/>
      <c r="Y407" s="68">
        <f t="shared" si="467"/>
        <v>0</v>
      </c>
      <c r="Z407" s="345"/>
      <c r="AA407" s="347"/>
      <c r="AB407" s="345"/>
      <c r="AC407" s="345"/>
      <c r="AD407" s="345"/>
      <c r="AE407" s="68">
        <f t="shared" si="468"/>
        <v>0</v>
      </c>
      <c r="AF407" s="366" t="s">
        <v>1129</v>
      </c>
      <c r="AG407" s="358" t="s">
        <v>1090</v>
      </c>
      <c r="AH407" s="359"/>
      <c r="AI407" s="360"/>
      <c r="AJ407" s="360"/>
      <c r="AK407" s="360" t="str">
        <f t="shared" si="457"/>
        <v/>
      </c>
      <c r="AL407" s="18"/>
      <c r="AM407" s="360" t="e">
        <f t="shared" si="469"/>
        <v>#VALUE!</v>
      </c>
      <c r="AN407" s="360" t="str">
        <f t="shared" si="470"/>
        <v>2</v>
      </c>
      <c r="AO407" s="360"/>
      <c r="AP407" s="346" t="str">
        <f t="shared" si="471"/>
        <v>2</v>
      </c>
      <c r="AQ407" s="360" t="e">
        <f t="shared" si="472"/>
        <v>#VALUE!</v>
      </c>
      <c r="AR407" s="530"/>
      <c r="AS407" s="360"/>
      <c r="AT407" s="362"/>
      <c r="AU407" s="362"/>
      <c r="AV407" s="362"/>
      <c r="AW407" s="362"/>
      <c r="AX407" s="362"/>
      <c r="AY407" s="362"/>
      <c r="AZ407" s="362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</row>
    <row r="408" spans="1:68" ht="20.25" customHeight="1">
      <c r="A408" s="100">
        <v>71</v>
      </c>
      <c r="B408" s="100" t="s">
        <v>58</v>
      </c>
      <c r="C408" s="100" t="s">
        <v>2319</v>
      </c>
      <c r="D408" s="102" t="s">
        <v>758</v>
      </c>
      <c r="E408" s="100" t="str">
        <f t="shared" si="300"/>
        <v>Sama</v>
      </c>
      <c r="F408" s="63">
        <f t="shared" si="462"/>
        <v>379</v>
      </c>
      <c r="G408" s="63">
        <v>15</v>
      </c>
      <c r="H408" s="64" t="s">
        <v>58</v>
      </c>
      <c r="I408" s="64" t="s">
        <v>758</v>
      </c>
      <c r="J408" s="84">
        <v>2711.837824758496</v>
      </c>
      <c r="K408" s="533" t="s">
        <v>661</v>
      </c>
      <c r="L408" s="68">
        <f t="shared" si="473"/>
        <v>0</v>
      </c>
      <c r="M408" s="63"/>
      <c r="N408" s="392" t="e">
        <f t="shared" si="465"/>
        <v>#VALUE!</v>
      </c>
      <c r="O408" s="382"/>
      <c r="P408" s="68"/>
      <c r="Q408" s="68"/>
      <c r="R408" s="68"/>
      <c r="S408" s="68">
        <f t="shared" si="466"/>
        <v>0</v>
      </c>
      <c r="T408" s="63"/>
      <c r="U408" s="347"/>
      <c r="V408" s="370"/>
      <c r="W408" s="370"/>
      <c r="X408" s="370"/>
      <c r="Y408" s="68">
        <f t="shared" si="467"/>
        <v>0</v>
      </c>
      <c r="Z408" s="345"/>
      <c r="AA408" s="347"/>
      <c r="AB408" s="345"/>
      <c r="AC408" s="345"/>
      <c r="AD408" s="345"/>
      <c r="AE408" s="68">
        <f t="shared" si="468"/>
        <v>0</v>
      </c>
      <c r="AF408" s="366" t="s">
        <v>1669</v>
      </c>
      <c r="AG408" s="358"/>
      <c r="AH408" s="359"/>
      <c r="AI408" s="360"/>
      <c r="AJ408" s="360"/>
      <c r="AK408" s="360" t="str">
        <f t="shared" si="457"/>
        <v/>
      </c>
      <c r="AL408" s="18"/>
      <c r="AM408" s="360" t="e">
        <f t="shared" si="469"/>
        <v>#VALUE!</v>
      </c>
      <c r="AN408" s="360" t="str">
        <f t="shared" si="470"/>
        <v>2</v>
      </c>
      <c r="AO408" s="360"/>
      <c r="AP408" s="346" t="str">
        <f t="shared" si="471"/>
        <v>2</v>
      </c>
      <c r="AQ408" s="360" t="e">
        <f t="shared" si="472"/>
        <v>#VALUE!</v>
      </c>
      <c r="AR408" s="530"/>
      <c r="AS408" s="360"/>
      <c r="AT408" s="362"/>
      <c r="AU408" s="362"/>
      <c r="AV408" s="362"/>
      <c r="AW408" s="362"/>
      <c r="AX408" s="362"/>
      <c r="AY408" s="362"/>
      <c r="AZ408" s="362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</row>
    <row r="409" spans="1:68" ht="20.25" customHeight="1">
      <c r="A409" s="100">
        <v>72</v>
      </c>
      <c r="B409" s="100" t="s">
        <v>2320</v>
      </c>
      <c r="C409" s="100">
        <v>72</v>
      </c>
      <c r="D409" s="102" t="s">
        <v>2321</v>
      </c>
      <c r="E409" s="100" t="str">
        <f t="shared" si="300"/>
        <v>Sama</v>
      </c>
      <c r="F409" s="63"/>
      <c r="G409" s="342"/>
      <c r="H409" s="379"/>
      <c r="I409" s="379" t="s">
        <v>2321</v>
      </c>
      <c r="J409" s="380">
        <f>SUM(J410:J422)</f>
        <v>116828.11119417287</v>
      </c>
      <c r="K409" s="353">
        <f>COUNTIF(K410:K422,"D") + COUNTIF(K410:K422,"DS")</f>
        <v>10</v>
      </c>
      <c r="L409" s="383">
        <f>SUBTOTAL(9,L410:L422)</f>
        <v>292803.79000000004</v>
      </c>
      <c r="M409" s="342"/>
      <c r="N409" s="355"/>
      <c r="O409" s="356"/>
      <c r="P409" s="383">
        <f t="shared" ref="P409:T409" si="474">SUBTOTAL(9,P413:P422)</f>
        <v>107449.33</v>
      </c>
      <c r="Q409" s="383">
        <f t="shared" si="474"/>
        <v>0</v>
      </c>
      <c r="R409" s="383">
        <f t="shared" si="474"/>
        <v>232051.79</v>
      </c>
      <c r="S409" s="383">
        <f t="shared" si="474"/>
        <v>232051.79</v>
      </c>
      <c r="T409" s="383">
        <f t="shared" si="474"/>
        <v>0</v>
      </c>
      <c r="U409" s="351"/>
      <c r="V409" s="384">
        <v>128000.25</v>
      </c>
      <c r="W409" s="384">
        <v>172470</v>
      </c>
      <c r="X409" s="384">
        <v>145976.25</v>
      </c>
      <c r="Y409" s="383">
        <f>SUBTOTAL(9,Y413:Y422)</f>
        <v>154370.25</v>
      </c>
      <c r="Z409" s="337"/>
      <c r="AA409" s="351"/>
      <c r="AB409" s="337">
        <v>128000.25</v>
      </c>
      <c r="AC409" s="337">
        <v>172470</v>
      </c>
      <c r="AD409" s="337">
        <v>145976.25</v>
      </c>
      <c r="AE409" s="383">
        <f>SUBTOTAL(9,AE413:AE422)</f>
        <v>0</v>
      </c>
      <c r="AF409" s="357" t="s">
        <v>1138</v>
      </c>
      <c r="AG409" s="419"/>
      <c r="AH409" s="420"/>
      <c r="AI409" s="421"/>
      <c r="AJ409" s="421"/>
      <c r="AK409" s="361">
        <f>COUNTIF(AK410:AK422,"V") + COUNTIF(AK410:AK422,"VV") + COUNTIF(AK410:AK422,"VVV")</f>
        <v>5</v>
      </c>
      <c r="AL409" s="422"/>
      <c r="AM409" s="360"/>
      <c r="AN409" s="360"/>
      <c r="AO409" s="421"/>
      <c r="AP409" s="346"/>
      <c r="AQ409" s="360"/>
      <c r="AR409" s="550"/>
      <c r="AS409" s="421"/>
      <c r="AT409" s="423"/>
      <c r="AU409" s="423"/>
      <c r="AV409" s="423"/>
      <c r="AW409" s="423"/>
      <c r="AX409" s="423"/>
      <c r="AY409" s="423"/>
      <c r="AZ409" s="423"/>
      <c r="BA409" s="422"/>
      <c r="BB409" s="422"/>
      <c r="BC409" s="422"/>
      <c r="BD409" s="422"/>
      <c r="BE409" s="422"/>
      <c r="BF409" s="422"/>
      <c r="BG409" s="422"/>
      <c r="BH409" s="422"/>
      <c r="BI409" s="422"/>
      <c r="BJ409" s="422"/>
      <c r="BK409" s="422"/>
      <c r="BL409" s="422"/>
      <c r="BM409" s="422"/>
      <c r="BN409" s="422"/>
      <c r="BO409" s="422"/>
      <c r="BP409" s="422"/>
    </row>
    <row r="410" spans="1:68" ht="20.25" customHeight="1">
      <c r="A410" s="100">
        <v>72</v>
      </c>
      <c r="B410" s="100" t="s">
        <v>2320</v>
      </c>
      <c r="C410" s="100" t="s">
        <v>2322</v>
      </c>
      <c r="D410" s="102" t="s">
        <v>760</v>
      </c>
      <c r="E410" s="100" t="str">
        <f t="shared" si="300"/>
        <v>Sama</v>
      </c>
      <c r="F410" s="63">
        <f t="shared" ref="F410:F422" si="475">SUBTOTAL(3,$G$7:G410)</f>
        <v>380</v>
      </c>
      <c r="G410" s="63">
        <v>1</v>
      </c>
      <c r="H410" s="64" t="s">
        <v>59</v>
      </c>
      <c r="I410" s="64" t="s">
        <v>760</v>
      </c>
      <c r="J410" s="84">
        <v>23809.278842771804</v>
      </c>
      <c r="K410" s="533" t="s">
        <v>661</v>
      </c>
      <c r="L410" s="68">
        <f t="shared" ref="L410:L422" si="476">IF(S410&gt;0,S410,IF(Y410&gt;0,Y410,IF(AE410&gt;0,AE410,0)))</f>
        <v>0</v>
      </c>
      <c r="M410" s="387"/>
      <c r="N410" s="427" t="e">
        <f t="shared" ref="N410:N422" si="477">VALUE(RIGHT(O410,4))</f>
        <v>#VALUE!</v>
      </c>
      <c r="O410" s="428"/>
      <c r="P410" s="388"/>
      <c r="Q410" s="388"/>
      <c r="R410" s="388"/>
      <c r="S410" s="68">
        <f t="shared" ref="S410:S422" si="478">IF(R410&gt;0,R410,IF(P410&gt;0,P410,0))</f>
        <v>0</v>
      </c>
      <c r="T410" s="387"/>
      <c r="U410" s="389"/>
      <c r="V410" s="390"/>
      <c r="W410" s="390"/>
      <c r="X410" s="390"/>
      <c r="Y410" s="68">
        <f t="shared" ref="Y410:Y422" si="479">IF(X410&gt;0,X410,IF(V410&gt;0,V410,0))</f>
        <v>0</v>
      </c>
      <c r="Z410" s="391"/>
      <c r="AA410" s="389"/>
      <c r="AB410" s="391"/>
      <c r="AC410" s="391"/>
      <c r="AD410" s="391"/>
      <c r="AE410" s="68">
        <f t="shared" ref="AE410:AE422" si="480">IF(AD410&gt;0,AD410,IF(AB410&gt;0,AB410,0))</f>
        <v>0</v>
      </c>
      <c r="AF410" s="366" t="s">
        <v>1129</v>
      </c>
      <c r="AG410" s="358" t="s">
        <v>1090</v>
      </c>
      <c r="AH410" s="359"/>
      <c r="AI410" s="360"/>
      <c r="AJ410" s="360"/>
      <c r="AK410" s="360" t="str">
        <f t="shared" ref="AK410:AK422" si="481">CONCATENATE(M410,T410,Z410)</f>
        <v/>
      </c>
      <c r="AL410" s="18"/>
      <c r="AM410" s="360" t="e">
        <f t="shared" ref="AM410:AM422" si="482">IF(N410=0,"3",IF(N410&lt;=2018,"2","1"))</f>
        <v>#VALUE!</v>
      </c>
      <c r="AN410" s="360" t="str">
        <f t="shared" ref="AN410:AN429" si="483">IF(S410&gt;0,"1","2")</f>
        <v>2</v>
      </c>
      <c r="AO410" s="360"/>
      <c r="AP410" s="346" t="str">
        <f t="shared" ref="AP410:AP422" si="484">IF(Y410&gt;0,"1",IF(AE410&gt;0,"1","2"))</f>
        <v>2</v>
      </c>
      <c r="AQ410" s="360" t="e">
        <f t="shared" ref="AQ410:AQ429" si="485">CONCATENATE(AM410,".",AN410,".",AO410,".",AP410)</f>
        <v>#VALUE!</v>
      </c>
      <c r="AR410" s="530"/>
      <c r="AS410" s="360"/>
      <c r="AT410" s="362"/>
      <c r="AU410" s="362"/>
      <c r="AV410" s="362"/>
      <c r="AW410" s="362"/>
      <c r="AX410" s="362"/>
      <c r="AY410" s="362"/>
      <c r="AZ410" s="362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</row>
    <row r="411" spans="1:68" ht="20.25" customHeight="1">
      <c r="A411" s="100">
        <v>72</v>
      </c>
      <c r="B411" s="100" t="s">
        <v>2320</v>
      </c>
      <c r="C411" s="100" t="s">
        <v>2323</v>
      </c>
      <c r="D411" s="102" t="s">
        <v>761</v>
      </c>
      <c r="E411" s="100" t="str">
        <f t="shared" si="300"/>
        <v>Sama</v>
      </c>
      <c r="F411" s="63">
        <f t="shared" si="475"/>
        <v>381</v>
      </c>
      <c r="G411" s="63">
        <v>2</v>
      </c>
      <c r="H411" s="64" t="s">
        <v>59</v>
      </c>
      <c r="I411" s="64" t="s">
        <v>761</v>
      </c>
      <c r="J411" s="84">
        <v>426.29707402534842</v>
      </c>
      <c r="K411" s="533" t="s">
        <v>661</v>
      </c>
      <c r="L411" s="68">
        <f t="shared" si="476"/>
        <v>0</v>
      </c>
      <c r="M411" s="387"/>
      <c r="N411" s="427" t="e">
        <f t="shared" si="477"/>
        <v>#VALUE!</v>
      </c>
      <c r="O411" s="428"/>
      <c r="P411" s="388"/>
      <c r="Q411" s="388"/>
      <c r="R411" s="388"/>
      <c r="S411" s="68">
        <f t="shared" si="478"/>
        <v>0</v>
      </c>
      <c r="T411" s="387"/>
      <c r="U411" s="389"/>
      <c r="V411" s="390"/>
      <c r="W411" s="390"/>
      <c r="X411" s="390"/>
      <c r="Y411" s="68">
        <f t="shared" si="479"/>
        <v>0</v>
      </c>
      <c r="Z411" s="391"/>
      <c r="AA411" s="389"/>
      <c r="AB411" s="391"/>
      <c r="AC411" s="391"/>
      <c r="AD411" s="391"/>
      <c r="AE411" s="68">
        <f t="shared" si="480"/>
        <v>0</v>
      </c>
      <c r="AF411" s="366" t="s">
        <v>1097</v>
      </c>
      <c r="AG411" s="358"/>
      <c r="AH411" s="359"/>
      <c r="AI411" s="360"/>
      <c r="AJ411" s="360"/>
      <c r="AK411" s="360" t="str">
        <f t="shared" si="481"/>
        <v/>
      </c>
      <c r="AL411" s="18"/>
      <c r="AM411" s="360" t="e">
        <f t="shared" si="482"/>
        <v>#VALUE!</v>
      </c>
      <c r="AN411" s="360" t="str">
        <f t="shared" si="483"/>
        <v>2</v>
      </c>
      <c r="AO411" s="360"/>
      <c r="AP411" s="346" t="str">
        <f t="shared" si="484"/>
        <v>2</v>
      </c>
      <c r="AQ411" s="360" t="e">
        <f t="shared" si="485"/>
        <v>#VALUE!</v>
      </c>
      <c r="AR411" s="530"/>
      <c r="AS411" s="360"/>
      <c r="AT411" s="362"/>
      <c r="AU411" s="362"/>
      <c r="AV411" s="362"/>
      <c r="AW411" s="362"/>
      <c r="AX411" s="362"/>
      <c r="AY411" s="362"/>
      <c r="AZ411" s="362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</row>
    <row r="412" spans="1:68" ht="20.25" customHeight="1">
      <c r="A412" s="100">
        <v>72</v>
      </c>
      <c r="B412" s="100" t="s">
        <v>2320</v>
      </c>
      <c r="C412" s="100" t="s">
        <v>2324</v>
      </c>
      <c r="D412" s="102" t="s">
        <v>762</v>
      </c>
      <c r="E412" s="100" t="str">
        <f t="shared" si="300"/>
        <v>Sama</v>
      </c>
      <c r="F412" s="63">
        <f t="shared" si="475"/>
        <v>382</v>
      </c>
      <c r="G412" s="63">
        <v>3</v>
      </c>
      <c r="H412" s="64" t="s">
        <v>59</v>
      </c>
      <c r="I412" s="64" t="s">
        <v>762</v>
      </c>
      <c r="J412" s="84"/>
      <c r="K412" s="533" t="s">
        <v>661</v>
      </c>
      <c r="L412" s="68">
        <f t="shared" si="476"/>
        <v>0</v>
      </c>
      <c r="M412" s="387"/>
      <c r="N412" s="427" t="e">
        <f t="shared" si="477"/>
        <v>#VALUE!</v>
      </c>
      <c r="O412" s="428"/>
      <c r="P412" s="388"/>
      <c r="Q412" s="388"/>
      <c r="R412" s="388"/>
      <c r="S412" s="68">
        <f t="shared" si="478"/>
        <v>0</v>
      </c>
      <c r="T412" s="387"/>
      <c r="U412" s="389"/>
      <c r="V412" s="390"/>
      <c r="W412" s="390"/>
      <c r="X412" s="390"/>
      <c r="Y412" s="68">
        <f t="shared" si="479"/>
        <v>0</v>
      </c>
      <c r="Z412" s="391"/>
      <c r="AA412" s="389"/>
      <c r="AB412" s="391"/>
      <c r="AC412" s="391"/>
      <c r="AD412" s="391"/>
      <c r="AE412" s="68">
        <f t="shared" si="480"/>
        <v>0</v>
      </c>
      <c r="AF412" s="366" t="s">
        <v>1097</v>
      </c>
      <c r="AG412" s="358"/>
      <c r="AH412" s="359"/>
      <c r="AI412" s="360"/>
      <c r="AJ412" s="360"/>
      <c r="AK412" s="360" t="str">
        <f t="shared" si="481"/>
        <v/>
      </c>
      <c r="AL412" s="18"/>
      <c r="AM412" s="360" t="e">
        <f t="shared" si="482"/>
        <v>#VALUE!</v>
      </c>
      <c r="AN412" s="360" t="str">
        <f t="shared" si="483"/>
        <v>2</v>
      </c>
      <c r="AO412" s="360"/>
      <c r="AP412" s="346" t="str">
        <f t="shared" si="484"/>
        <v>2</v>
      </c>
      <c r="AQ412" s="360" t="e">
        <f t="shared" si="485"/>
        <v>#VALUE!</v>
      </c>
      <c r="AR412" s="530"/>
      <c r="AS412" s="360"/>
      <c r="AT412" s="362"/>
      <c r="AU412" s="362"/>
      <c r="AV412" s="362"/>
      <c r="AW412" s="362"/>
      <c r="AX412" s="362"/>
      <c r="AY412" s="362"/>
      <c r="AZ412" s="362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</row>
    <row r="413" spans="1:68" ht="20.25" customHeight="1">
      <c r="A413" s="100">
        <v>72</v>
      </c>
      <c r="B413" s="100" t="s">
        <v>2320</v>
      </c>
      <c r="C413" s="100" t="s">
        <v>2325</v>
      </c>
      <c r="D413" s="102" t="s">
        <v>764</v>
      </c>
      <c r="E413" s="100" t="str">
        <f t="shared" si="300"/>
        <v>Sama</v>
      </c>
      <c r="F413" s="63">
        <f t="shared" si="475"/>
        <v>383</v>
      </c>
      <c r="G413" s="63">
        <v>4</v>
      </c>
      <c r="H413" s="64" t="s">
        <v>59</v>
      </c>
      <c r="I413" s="62" t="s">
        <v>764</v>
      </c>
      <c r="J413" s="66">
        <v>3622.9238781080912</v>
      </c>
      <c r="K413" s="533" t="s">
        <v>104</v>
      </c>
      <c r="L413" s="68">
        <f t="shared" si="476"/>
        <v>76216</v>
      </c>
      <c r="M413" s="63"/>
      <c r="N413" s="392">
        <f t="shared" si="477"/>
        <v>2012</v>
      </c>
      <c r="O413" s="382" t="s">
        <v>432</v>
      </c>
      <c r="P413" s="68">
        <v>76216</v>
      </c>
      <c r="Q413" s="68">
        <v>0</v>
      </c>
      <c r="R413" s="68">
        <v>76216</v>
      </c>
      <c r="S413" s="68">
        <f t="shared" si="478"/>
        <v>76216</v>
      </c>
      <c r="T413" s="63"/>
      <c r="U413" s="385" t="s">
        <v>1691</v>
      </c>
      <c r="V413" s="370">
        <v>9200</v>
      </c>
      <c r="W413" s="370">
        <v>0</v>
      </c>
      <c r="X413" s="370">
        <v>9200</v>
      </c>
      <c r="Y413" s="68">
        <f t="shared" si="479"/>
        <v>9200</v>
      </c>
      <c r="Z413" s="345"/>
      <c r="AA413" s="385"/>
      <c r="AB413" s="345"/>
      <c r="AC413" s="345"/>
      <c r="AD413" s="345"/>
      <c r="AE413" s="68">
        <f t="shared" si="480"/>
        <v>0</v>
      </c>
      <c r="AF413" s="366" t="s">
        <v>1129</v>
      </c>
      <c r="AG413" s="358" t="s">
        <v>1090</v>
      </c>
      <c r="AH413" s="359"/>
      <c r="AI413" s="360"/>
      <c r="AJ413" s="360"/>
      <c r="AK413" s="360" t="str">
        <f t="shared" si="481"/>
        <v/>
      </c>
      <c r="AL413" s="18"/>
      <c r="AM413" s="360" t="str">
        <f t="shared" si="482"/>
        <v>2</v>
      </c>
      <c r="AN413" s="360" t="str">
        <f t="shared" si="483"/>
        <v>1</v>
      </c>
      <c r="AO413" s="360"/>
      <c r="AP413" s="346" t="str">
        <f t="shared" si="484"/>
        <v>1</v>
      </c>
      <c r="AQ413" s="360" t="str">
        <f t="shared" si="485"/>
        <v>2.1..1</v>
      </c>
      <c r="AR413" s="530"/>
      <c r="AS413" s="360"/>
      <c r="AT413" s="362"/>
      <c r="AU413" s="362"/>
      <c r="AV413" s="362"/>
      <c r="AW413" s="362"/>
      <c r="AX413" s="362"/>
      <c r="AY413" s="362"/>
      <c r="AZ413" s="362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</row>
    <row r="414" spans="1:68" ht="20.25" customHeight="1">
      <c r="A414" s="100">
        <v>72</v>
      </c>
      <c r="B414" s="100" t="s">
        <v>2320</v>
      </c>
      <c r="C414" s="100" t="s">
        <v>2326</v>
      </c>
      <c r="D414" s="102" t="s">
        <v>765</v>
      </c>
      <c r="E414" s="100" t="str">
        <f t="shared" si="300"/>
        <v>Sama</v>
      </c>
      <c r="F414" s="63">
        <f t="shared" si="475"/>
        <v>384</v>
      </c>
      <c r="G414" s="63">
        <v>5</v>
      </c>
      <c r="H414" s="64" t="s">
        <v>59</v>
      </c>
      <c r="I414" s="62" t="s">
        <v>765</v>
      </c>
      <c r="J414" s="66">
        <v>8578.8331977954495</v>
      </c>
      <c r="K414" s="533" t="s">
        <v>104</v>
      </c>
      <c r="L414" s="68">
        <f t="shared" si="476"/>
        <v>14216</v>
      </c>
      <c r="M414" s="63"/>
      <c r="N414" s="392">
        <f t="shared" si="477"/>
        <v>2012</v>
      </c>
      <c r="O414" s="382" t="s">
        <v>315</v>
      </c>
      <c r="P414" s="68">
        <v>14216</v>
      </c>
      <c r="Q414" s="68">
        <v>0</v>
      </c>
      <c r="R414" s="68">
        <v>14216</v>
      </c>
      <c r="S414" s="68">
        <f t="shared" si="478"/>
        <v>14216</v>
      </c>
      <c r="T414" s="63"/>
      <c r="U414" s="347"/>
      <c r="V414" s="370"/>
      <c r="W414" s="370"/>
      <c r="X414" s="370"/>
      <c r="Y414" s="68">
        <f t="shared" si="479"/>
        <v>0</v>
      </c>
      <c r="Z414" s="345"/>
      <c r="AA414" s="347"/>
      <c r="AB414" s="345"/>
      <c r="AC414" s="345"/>
      <c r="AD414" s="345"/>
      <c r="AE414" s="68">
        <f t="shared" si="480"/>
        <v>0</v>
      </c>
      <c r="AF414" s="366">
        <v>2023</v>
      </c>
      <c r="AG414" s="358" t="s">
        <v>1090</v>
      </c>
      <c r="AH414" s="359"/>
      <c r="AI414" s="360"/>
      <c r="AJ414" s="360"/>
      <c r="AK414" s="360" t="str">
        <f t="shared" si="481"/>
        <v/>
      </c>
      <c r="AL414" s="18"/>
      <c r="AM414" s="360" t="str">
        <f t="shared" si="482"/>
        <v>2</v>
      </c>
      <c r="AN414" s="360" t="str">
        <f t="shared" si="483"/>
        <v>1</v>
      </c>
      <c r="AO414" s="360"/>
      <c r="AP414" s="346" t="str">
        <f t="shared" si="484"/>
        <v>2</v>
      </c>
      <c r="AQ414" s="360" t="str">
        <f t="shared" si="485"/>
        <v>2.1..2</v>
      </c>
      <c r="AR414" s="530"/>
      <c r="AS414" s="360"/>
      <c r="AT414" s="362"/>
      <c r="AU414" s="362"/>
      <c r="AV414" s="362"/>
      <c r="AW414" s="362"/>
      <c r="AX414" s="362"/>
      <c r="AY414" s="362"/>
      <c r="AZ414" s="362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</row>
    <row r="415" spans="1:68" ht="20.25" customHeight="1">
      <c r="A415" s="100">
        <v>72</v>
      </c>
      <c r="B415" s="100" t="s">
        <v>2320</v>
      </c>
      <c r="C415" s="100" t="s">
        <v>2327</v>
      </c>
      <c r="D415" s="102" t="s">
        <v>766</v>
      </c>
      <c r="E415" s="100" t="str">
        <f t="shared" si="300"/>
        <v>Sama</v>
      </c>
      <c r="F415" s="63">
        <f t="shared" si="475"/>
        <v>385</v>
      </c>
      <c r="G415" s="63">
        <v>6</v>
      </c>
      <c r="H415" s="64" t="s">
        <v>59</v>
      </c>
      <c r="I415" s="62" t="s">
        <v>766</v>
      </c>
      <c r="J415" s="66">
        <v>410.74972821906823</v>
      </c>
      <c r="K415" s="533" t="s">
        <v>91</v>
      </c>
      <c r="L415" s="68">
        <f t="shared" si="476"/>
        <v>427</v>
      </c>
      <c r="M415" s="63" t="s">
        <v>1076</v>
      </c>
      <c r="N415" s="365">
        <f t="shared" si="477"/>
        <v>2021</v>
      </c>
      <c r="O415" s="347" t="s">
        <v>243</v>
      </c>
      <c r="P415" s="370">
        <v>0</v>
      </c>
      <c r="Q415" s="370">
        <v>0</v>
      </c>
      <c r="R415" s="370">
        <v>427</v>
      </c>
      <c r="S415" s="68">
        <f t="shared" si="478"/>
        <v>427</v>
      </c>
      <c r="T415" s="63"/>
      <c r="U415" s="347"/>
      <c r="V415" s="370"/>
      <c r="W415" s="370"/>
      <c r="X415" s="370"/>
      <c r="Y415" s="68">
        <f t="shared" si="479"/>
        <v>0</v>
      </c>
      <c r="Z415" s="345"/>
      <c r="AA415" s="347"/>
      <c r="AB415" s="345"/>
      <c r="AC415" s="345"/>
      <c r="AD415" s="345"/>
      <c r="AE415" s="68">
        <f t="shared" si="480"/>
        <v>0</v>
      </c>
      <c r="AF415" s="366">
        <v>2020</v>
      </c>
      <c r="AG415" s="358"/>
      <c r="AH415" s="359"/>
      <c r="AI415" s="360"/>
      <c r="AJ415" s="360"/>
      <c r="AK415" s="360" t="str">
        <f t="shared" si="481"/>
        <v>V</v>
      </c>
      <c r="AL415" s="18"/>
      <c r="AM415" s="360" t="str">
        <f t="shared" si="482"/>
        <v>1</v>
      </c>
      <c r="AN415" s="360" t="str">
        <f t="shared" si="483"/>
        <v>1</v>
      </c>
      <c r="AO415" s="360"/>
      <c r="AP415" s="346" t="str">
        <f t="shared" si="484"/>
        <v>2</v>
      </c>
      <c r="AQ415" s="360" t="str">
        <f t="shared" si="485"/>
        <v>1.1..2</v>
      </c>
      <c r="AR415" s="530"/>
      <c r="AS415" s="362" t="s">
        <v>243</v>
      </c>
      <c r="AT415" s="362">
        <v>411</v>
      </c>
      <c r="AU415" s="362">
        <v>425</v>
      </c>
      <c r="AV415" s="368">
        <f t="shared" ref="AV415:AV418" si="486">AU415/AT415</f>
        <v>1.0340632603406326</v>
      </c>
      <c r="AW415" s="362">
        <v>97</v>
      </c>
      <c r="AX415" s="368">
        <f t="shared" ref="AX415:AX418" si="487">AW415/AT415</f>
        <v>0.23600973236009731</v>
      </c>
      <c r="AY415" s="362">
        <v>314</v>
      </c>
      <c r="AZ415" s="368">
        <f t="shared" ref="AZ415:AZ418" si="488">AY415/AT415</f>
        <v>0.76399026763990263</v>
      </c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</row>
    <row r="416" spans="1:68" ht="20.25" customHeight="1">
      <c r="A416" s="100">
        <v>72</v>
      </c>
      <c r="B416" s="100" t="s">
        <v>2320</v>
      </c>
      <c r="C416" s="100" t="s">
        <v>2328</v>
      </c>
      <c r="D416" s="102" t="s">
        <v>767</v>
      </c>
      <c r="E416" s="100" t="str">
        <f t="shared" si="300"/>
        <v>Sama</v>
      </c>
      <c r="F416" s="63">
        <f t="shared" si="475"/>
        <v>386</v>
      </c>
      <c r="G416" s="63">
        <v>7</v>
      </c>
      <c r="H416" s="64" t="s">
        <v>59</v>
      </c>
      <c r="I416" s="62" t="s">
        <v>767</v>
      </c>
      <c r="J416" s="66">
        <v>6056.8078699316975</v>
      </c>
      <c r="K416" s="533" t="s">
        <v>91</v>
      </c>
      <c r="L416" s="68">
        <f t="shared" si="476"/>
        <v>43119.79</v>
      </c>
      <c r="M416" s="63" t="s">
        <v>1076</v>
      </c>
      <c r="N416" s="365">
        <f t="shared" si="477"/>
        <v>19</v>
      </c>
      <c r="O416" s="347" t="s">
        <v>1695</v>
      </c>
      <c r="P416" s="370">
        <v>6437.33</v>
      </c>
      <c r="Q416" s="370">
        <v>0</v>
      </c>
      <c r="R416" s="370">
        <v>43119.79</v>
      </c>
      <c r="S416" s="68">
        <f t="shared" si="478"/>
        <v>43119.79</v>
      </c>
      <c r="T416" s="63"/>
      <c r="U416" s="385" t="s">
        <v>1696</v>
      </c>
      <c r="V416" s="370">
        <v>7125.25</v>
      </c>
      <c r="W416" s="370">
        <v>0</v>
      </c>
      <c r="X416" s="370">
        <v>7125.25</v>
      </c>
      <c r="Y416" s="68">
        <f t="shared" si="479"/>
        <v>7125.25</v>
      </c>
      <c r="Z416" s="345"/>
      <c r="AA416" s="385"/>
      <c r="AB416" s="345"/>
      <c r="AC416" s="345"/>
      <c r="AD416" s="345"/>
      <c r="AE416" s="68">
        <f t="shared" si="480"/>
        <v>0</v>
      </c>
      <c r="AF416" s="364">
        <v>2023</v>
      </c>
      <c r="AG416" s="344" t="s">
        <v>1090</v>
      </c>
      <c r="AH416" s="84"/>
      <c r="AI416" s="63"/>
      <c r="AJ416" s="63"/>
      <c r="AK416" s="63" t="str">
        <f t="shared" si="481"/>
        <v>V</v>
      </c>
      <c r="AL416" s="47"/>
      <c r="AM416" s="63" t="str">
        <f t="shared" si="482"/>
        <v>2</v>
      </c>
      <c r="AN416" s="63" t="str">
        <f t="shared" si="483"/>
        <v>1</v>
      </c>
      <c r="AO416" s="63"/>
      <c r="AP416" s="346" t="str">
        <f t="shared" si="484"/>
        <v>1</v>
      </c>
      <c r="AQ416" s="63" t="str">
        <f t="shared" si="485"/>
        <v>2.1..1</v>
      </c>
      <c r="AR416" s="534"/>
      <c r="AS416" s="347"/>
      <c r="AT416" s="95"/>
      <c r="AU416" s="95"/>
      <c r="AV416" s="371" t="e">
        <f t="shared" si="486"/>
        <v>#DIV/0!</v>
      </c>
      <c r="AW416" s="95"/>
      <c r="AX416" s="371" t="e">
        <f t="shared" si="487"/>
        <v>#DIV/0!</v>
      </c>
      <c r="AY416" s="95"/>
      <c r="AZ416" s="371" t="e">
        <f t="shared" si="488"/>
        <v>#DIV/0!</v>
      </c>
      <c r="BA416" s="47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</row>
    <row r="417" spans="1:68" ht="20.25" customHeight="1">
      <c r="A417" s="100">
        <v>72</v>
      </c>
      <c r="B417" s="100" t="s">
        <v>2320</v>
      </c>
      <c r="C417" s="100" t="s">
        <v>2329</v>
      </c>
      <c r="D417" s="102" t="s">
        <v>769</v>
      </c>
      <c r="E417" s="100" t="str">
        <f t="shared" si="300"/>
        <v>Sama</v>
      </c>
      <c r="F417" s="63">
        <f t="shared" si="475"/>
        <v>387</v>
      </c>
      <c r="G417" s="63">
        <v>8</v>
      </c>
      <c r="H417" s="64" t="s">
        <v>59</v>
      </c>
      <c r="I417" s="62" t="s">
        <v>769</v>
      </c>
      <c r="J417" s="66">
        <v>6683.5709048576873</v>
      </c>
      <c r="K417" s="533" t="s">
        <v>91</v>
      </c>
      <c r="L417" s="68">
        <f t="shared" si="476"/>
        <v>8394</v>
      </c>
      <c r="M417" s="63"/>
      <c r="N417" s="392" t="e">
        <f t="shared" si="477"/>
        <v>#VALUE!</v>
      </c>
      <c r="O417" s="382"/>
      <c r="P417" s="68"/>
      <c r="Q417" s="68"/>
      <c r="R417" s="68"/>
      <c r="S417" s="68">
        <f t="shared" si="478"/>
        <v>0</v>
      </c>
      <c r="T417" s="63" t="s">
        <v>1076</v>
      </c>
      <c r="U417" s="347" t="s">
        <v>1450</v>
      </c>
      <c r="V417" s="370">
        <v>8394</v>
      </c>
      <c r="W417" s="370">
        <v>146100</v>
      </c>
      <c r="X417" s="370">
        <v>0</v>
      </c>
      <c r="Y417" s="68">
        <f t="shared" si="479"/>
        <v>8394</v>
      </c>
      <c r="Z417" s="345"/>
      <c r="AA417" s="347"/>
      <c r="AB417" s="345"/>
      <c r="AC417" s="345"/>
      <c r="AD417" s="345"/>
      <c r="AE417" s="68">
        <f t="shared" si="480"/>
        <v>0</v>
      </c>
      <c r="AF417" s="366">
        <v>2020</v>
      </c>
      <c r="AG417" s="358"/>
      <c r="AH417" s="359"/>
      <c r="AI417" s="360"/>
      <c r="AJ417" s="360"/>
      <c r="AK417" s="360" t="str">
        <f t="shared" si="481"/>
        <v>V</v>
      </c>
      <c r="AL417" s="18"/>
      <c r="AM417" s="360" t="e">
        <f t="shared" si="482"/>
        <v>#VALUE!</v>
      </c>
      <c r="AN417" s="360" t="str">
        <f t="shared" si="483"/>
        <v>2</v>
      </c>
      <c r="AO417" s="360"/>
      <c r="AP417" s="346" t="str">
        <f t="shared" si="484"/>
        <v>1</v>
      </c>
      <c r="AQ417" s="360" t="e">
        <f t="shared" si="485"/>
        <v>#VALUE!</v>
      </c>
      <c r="AR417" s="530"/>
      <c r="AS417" s="362" t="s">
        <v>2330</v>
      </c>
      <c r="AT417" s="367">
        <v>6684</v>
      </c>
      <c r="AU417" s="367">
        <v>8519</v>
      </c>
      <c r="AV417" s="368">
        <f t="shared" si="486"/>
        <v>1.2745362058647516</v>
      </c>
      <c r="AW417" s="367">
        <v>8438</v>
      </c>
      <c r="AX417" s="368">
        <f t="shared" si="487"/>
        <v>1.2624177139437462</v>
      </c>
      <c r="AY417" s="362">
        <v>8</v>
      </c>
      <c r="AZ417" s="368">
        <f t="shared" si="488"/>
        <v>1.1968880909634949E-3</v>
      </c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</row>
    <row r="418" spans="1:68" ht="20.25" customHeight="1">
      <c r="A418" s="100">
        <v>72</v>
      </c>
      <c r="B418" s="100" t="s">
        <v>2320</v>
      </c>
      <c r="C418" s="100" t="s">
        <v>2331</v>
      </c>
      <c r="D418" s="102" t="s">
        <v>771</v>
      </c>
      <c r="E418" s="100" t="str">
        <f t="shared" si="300"/>
        <v>Sama</v>
      </c>
      <c r="F418" s="63">
        <f t="shared" si="475"/>
        <v>388</v>
      </c>
      <c r="G418" s="63">
        <v>9</v>
      </c>
      <c r="H418" s="64" t="s">
        <v>59</v>
      </c>
      <c r="I418" s="62" t="s">
        <v>771</v>
      </c>
      <c r="J418" s="66">
        <v>27413.091240013317</v>
      </c>
      <c r="K418" s="533" t="s">
        <v>91</v>
      </c>
      <c r="L418" s="68">
        <f t="shared" si="476"/>
        <v>59956</v>
      </c>
      <c r="M418" s="63" t="s">
        <v>1076</v>
      </c>
      <c r="N418" s="365">
        <f t="shared" si="477"/>
        <v>2020</v>
      </c>
      <c r="O418" s="347" t="s">
        <v>155</v>
      </c>
      <c r="P418" s="370">
        <v>0</v>
      </c>
      <c r="Q418" s="370">
        <v>0</v>
      </c>
      <c r="R418" s="370">
        <v>59956</v>
      </c>
      <c r="S418" s="68">
        <f t="shared" si="478"/>
        <v>59956</v>
      </c>
      <c r="T418" s="63"/>
      <c r="U418" s="385" t="s">
        <v>1652</v>
      </c>
      <c r="V418" s="370">
        <v>28417</v>
      </c>
      <c r="W418" s="370">
        <v>26370</v>
      </c>
      <c r="X418" s="370">
        <v>54787</v>
      </c>
      <c r="Y418" s="68">
        <f t="shared" si="479"/>
        <v>54787</v>
      </c>
      <c r="Z418" s="345"/>
      <c r="AA418" s="385"/>
      <c r="AB418" s="345"/>
      <c r="AC418" s="345"/>
      <c r="AD418" s="345"/>
      <c r="AE418" s="68">
        <f t="shared" si="480"/>
        <v>0</v>
      </c>
      <c r="AF418" s="366">
        <v>2020</v>
      </c>
      <c r="AG418" s="358"/>
      <c r="AH418" s="359"/>
      <c r="AI418" s="360"/>
      <c r="AJ418" s="360"/>
      <c r="AK418" s="360" t="str">
        <f t="shared" si="481"/>
        <v>V</v>
      </c>
      <c r="AL418" s="18"/>
      <c r="AM418" s="360" t="str">
        <f t="shared" si="482"/>
        <v>1</v>
      </c>
      <c r="AN418" s="360" t="str">
        <f t="shared" si="483"/>
        <v>1</v>
      </c>
      <c r="AO418" s="360"/>
      <c r="AP418" s="346" t="str">
        <f t="shared" si="484"/>
        <v>1</v>
      </c>
      <c r="AQ418" s="360" t="str">
        <f t="shared" si="485"/>
        <v>1.1..1</v>
      </c>
      <c r="AR418" s="530"/>
      <c r="AS418" s="362" t="s">
        <v>155</v>
      </c>
      <c r="AT418" s="367">
        <v>27413</v>
      </c>
      <c r="AU418" s="367">
        <v>59814</v>
      </c>
      <c r="AV418" s="368">
        <f t="shared" si="486"/>
        <v>2.1819574654361071</v>
      </c>
      <c r="AW418" s="367">
        <v>26308</v>
      </c>
      <c r="AX418" s="368">
        <f t="shared" si="487"/>
        <v>0.95969065771714146</v>
      </c>
      <c r="AY418" s="367">
        <v>1105</v>
      </c>
      <c r="AZ418" s="368">
        <f t="shared" si="488"/>
        <v>4.0309342282858499E-2</v>
      </c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</row>
    <row r="419" spans="1:68" ht="20.25" customHeight="1">
      <c r="A419" s="100">
        <v>72</v>
      </c>
      <c r="B419" s="100" t="s">
        <v>2320</v>
      </c>
      <c r="C419" s="100" t="s">
        <v>2332</v>
      </c>
      <c r="D419" s="102" t="s">
        <v>772</v>
      </c>
      <c r="E419" s="100" t="str">
        <f t="shared" si="300"/>
        <v>Sama</v>
      </c>
      <c r="F419" s="63">
        <f t="shared" si="475"/>
        <v>389</v>
      </c>
      <c r="G419" s="63">
        <v>10</v>
      </c>
      <c r="H419" s="64" t="s">
        <v>59</v>
      </c>
      <c r="I419" s="62" t="s">
        <v>772</v>
      </c>
      <c r="J419" s="66">
        <v>15653.907115466192</v>
      </c>
      <c r="K419" s="533" t="s">
        <v>104</v>
      </c>
      <c r="L419" s="68">
        <f t="shared" si="476"/>
        <v>52358</v>
      </c>
      <c r="M419" s="63"/>
      <c r="N419" s="392" t="e">
        <f t="shared" si="477"/>
        <v>#VALUE!</v>
      </c>
      <c r="O419" s="382"/>
      <c r="P419" s="68"/>
      <c r="Q419" s="68"/>
      <c r="R419" s="68"/>
      <c r="S419" s="68">
        <f t="shared" si="478"/>
        <v>0</v>
      </c>
      <c r="T419" s="63"/>
      <c r="U419" s="347" t="s">
        <v>1700</v>
      </c>
      <c r="V419" s="370">
        <v>52358</v>
      </c>
      <c r="W419" s="370">
        <v>0</v>
      </c>
      <c r="X419" s="370">
        <v>52358</v>
      </c>
      <c r="Y419" s="68">
        <f t="shared" si="479"/>
        <v>52358</v>
      </c>
      <c r="Z419" s="345"/>
      <c r="AA419" s="347"/>
      <c r="AB419" s="345"/>
      <c r="AC419" s="345"/>
      <c r="AD419" s="345"/>
      <c r="AE419" s="68">
        <f t="shared" si="480"/>
        <v>0</v>
      </c>
      <c r="AF419" s="366">
        <v>2023</v>
      </c>
      <c r="AG419" s="358" t="s">
        <v>1090</v>
      </c>
      <c r="AH419" s="359"/>
      <c r="AI419" s="360"/>
      <c r="AJ419" s="360"/>
      <c r="AK419" s="360" t="str">
        <f t="shared" si="481"/>
        <v/>
      </c>
      <c r="AL419" s="18"/>
      <c r="AM419" s="360" t="e">
        <f t="shared" si="482"/>
        <v>#VALUE!</v>
      </c>
      <c r="AN419" s="360" t="str">
        <f t="shared" si="483"/>
        <v>2</v>
      </c>
      <c r="AO419" s="360"/>
      <c r="AP419" s="346" t="str">
        <f t="shared" si="484"/>
        <v>1</v>
      </c>
      <c r="AQ419" s="360" t="e">
        <f t="shared" si="485"/>
        <v>#VALUE!</v>
      </c>
      <c r="AR419" s="530"/>
      <c r="AS419" s="360"/>
      <c r="AT419" s="362"/>
      <c r="AU419" s="362"/>
      <c r="AV419" s="362"/>
      <c r="AW419" s="362"/>
      <c r="AX419" s="362"/>
      <c r="AY419" s="362"/>
      <c r="AZ419" s="362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</row>
    <row r="420" spans="1:68" ht="20.25" customHeight="1">
      <c r="A420" s="100">
        <v>72</v>
      </c>
      <c r="B420" s="100" t="s">
        <v>2320</v>
      </c>
      <c r="C420" s="100" t="s">
        <v>2333</v>
      </c>
      <c r="D420" s="102" t="s">
        <v>774</v>
      </c>
      <c r="E420" s="100" t="str">
        <f t="shared" si="300"/>
        <v>Sama</v>
      </c>
      <c r="F420" s="63">
        <f t="shared" si="475"/>
        <v>390</v>
      </c>
      <c r="G420" s="63">
        <v>11</v>
      </c>
      <c r="H420" s="64" t="s">
        <v>59</v>
      </c>
      <c r="I420" s="62" t="s">
        <v>774</v>
      </c>
      <c r="J420" s="66">
        <v>13822.844059525192</v>
      </c>
      <c r="K420" s="533" t="s">
        <v>91</v>
      </c>
      <c r="L420" s="68">
        <f t="shared" si="476"/>
        <v>27537</v>
      </c>
      <c r="M420" s="63" t="s">
        <v>1076</v>
      </c>
      <c r="N420" s="365">
        <f t="shared" si="477"/>
        <v>2021</v>
      </c>
      <c r="O420" s="347" t="s">
        <v>149</v>
      </c>
      <c r="P420" s="370">
        <v>0</v>
      </c>
      <c r="Q420" s="370">
        <v>0</v>
      </c>
      <c r="R420" s="370">
        <v>27537</v>
      </c>
      <c r="S420" s="68">
        <f t="shared" si="478"/>
        <v>27537</v>
      </c>
      <c r="T420" s="63"/>
      <c r="U420" s="385" t="s">
        <v>1702</v>
      </c>
      <c r="V420" s="370">
        <v>17393</v>
      </c>
      <c r="W420" s="370">
        <v>0</v>
      </c>
      <c r="X420" s="370">
        <v>17393</v>
      </c>
      <c r="Y420" s="68">
        <f t="shared" si="479"/>
        <v>17393</v>
      </c>
      <c r="Z420" s="345"/>
      <c r="AA420" s="385"/>
      <c r="AB420" s="345"/>
      <c r="AC420" s="345"/>
      <c r="AD420" s="345"/>
      <c r="AE420" s="68">
        <f t="shared" si="480"/>
        <v>0</v>
      </c>
      <c r="AF420" s="366">
        <v>2020</v>
      </c>
      <c r="AG420" s="358"/>
      <c r="AH420" s="359"/>
      <c r="AI420" s="360"/>
      <c r="AJ420" s="360"/>
      <c r="AK420" s="360" t="str">
        <f t="shared" si="481"/>
        <v>V</v>
      </c>
      <c r="AL420" s="18"/>
      <c r="AM420" s="360" t="str">
        <f t="shared" si="482"/>
        <v>1</v>
      </c>
      <c r="AN420" s="360" t="str">
        <f t="shared" si="483"/>
        <v>1</v>
      </c>
      <c r="AO420" s="360"/>
      <c r="AP420" s="346" t="str">
        <f t="shared" si="484"/>
        <v>1</v>
      </c>
      <c r="AQ420" s="360" t="str">
        <f t="shared" si="485"/>
        <v>1.1..1</v>
      </c>
      <c r="AR420" s="530"/>
      <c r="AS420" s="362" t="s">
        <v>149</v>
      </c>
      <c r="AT420" s="367">
        <v>13823</v>
      </c>
      <c r="AU420" s="367">
        <v>27484</v>
      </c>
      <c r="AV420" s="368">
        <f>AU420/AT420</f>
        <v>1.9882804022281704</v>
      </c>
      <c r="AW420" s="367">
        <v>16037</v>
      </c>
      <c r="AX420" s="368">
        <f>AW420/AT420</f>
        <v>1.1601678362150041</v>
      </c>
      <c r="AY420" s="367">
        <v>2680</v>
      </c>
      <c r="AZ420" s="368">
        <f>AY420/AT420</f>
        <v>0.19387976560804457</v>
      </c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</row>
    <row r="421" spans="1:68" ht="20.25" customHeight="1">
      <c r="A421" s="100">
        <v>72</v>
      </c>
      <c r="B421" s="100" t="s">
        <v>2320</v>
      </c>
      <c r="C421" s="100" t="s">
        <v>2334</v>
      </c>
      <c r="D421" s="102" t="s">
        <v>2335</v>
      </c>
      <c r="E421" s="100" t="str">
        <f t="shared" si="300"/>
        <v>Sama</v>
      </c>
      <c r="F421" s="63">
        <f t="shared" si="475"/>
        <v>391</v>
      </c>
      <c r="G421" s="63">
        <v>12</v>
      </c>
      <c r="H421" s="64" t="s">
        <v>59</v>
      </c>
      <c r="I421" s="62" t="s">
        <v>2335</v>
      </c>
      <c r="J421" s="66">
        <v>1317.8582057669164</v>
      </c>
      <c r="K421" s="533" t="s">
        <v>104</v>
      </c>
      <c r="L421" s="68">
        <f t="shared" si="476"/>
        <v>5078</v>
      </c>
      <c r="M421" s="63"/>
      <c r="N421" s="392">
        <f t="shared" si="477"/>
        <v>2012</v>
      </c>
      <c r="O421" s="382" t="s">
        <v>223</v>
      </c>
      <c r="P421" s="68">
        <v>5078</v>
      </c>
      <c r="Q421" s="68">
        <v>0</v>
      </c>
      <c r="R421" s="68">
        <v>5078</v>
      </c>
      <c r="S421" s="68">
        <f t="shared" si="478"/>
        <v>5078</v>
      </c>
      <c r="T421" s="63"/>
      <c r="U421" s="385" t="s">
        <v>1704</v>
      </c>
      <c r="V421" s="370">
        <v>5113</v>
      </c>
      <c r="W421" s="370">
        <v>0</v>
      </c>
      <c r="X421" s="370">
        <v>5113</v>
      </c>
      <c r="Y421" s="68">
        <f t="shared" si="479"/>
        <v>5113</v>
      </c>
      <c r="Z421" s="345"/>
      <c r="AA421" s="385"/>
      <c r="AB421" s="345"/>
      <c r="AC421" s="345"/>
      <c r="AD421" s="345"/>
      <c r="AE421" s="68">
        <f t="shared" si="480"/>
        <v>0</v>
      </c>
      <c r="AF421" s="366" t="s">
        <v>1097</v>
      </c>
      <c r="AG421" s="358"/>
      <c r="AH421" s="359"/>
      <c r="AI421" s="360"/>
      <c r="AJ421" s="360"/>
      <c r="AK421" s="360" t="str">
        <f t="shared" si="481"/>
        <v/>
      </c>
      <c r="AL421" s="18"/>
      <c r="AM421" s="360" t="str">
        <f t="shared" si="482"/>
        <v>2</v>
      </c>
      <c r="AN421" s="360" t="str">
        <f t="shared" si="483"/>
        <v>1</v>
      </c>
      <c r="AO421" s="360"/>
      <c r="AP421" s="346" t="str">
        <f t="shared" si="484"/>
        <v>1</v>
      </c>
      <c r="AQ421" s="360" t="str">
        <f t="shared" si="485"/>
        <v>2.1..1</v>
      </c>
      <c r="AR421" s="530"/>
      <c r="AS421" s="360"/>
      <c r="AT421" s="362"/>
      <c r="AU421" s="362"/>
      <c r="AV421" s="362"/>
      <c r="AW421" s="362"/>
      <c r="AX421" s="362"/>
      <c r="AY421" s="362"/>
      <c r="AZ421" s="362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</row>
    <row r="422" spans="1:68" ht="20.25" customHeight="1">
      <c r="A422" s="100">
        <v>72</v>
      </c>
      <c r="B422" s="100" t="s">
        <v>2320</v>
      </c>
      <c r="C422" s="100" t="s">
        <v>2336</v>
      </c>
      <c r="D422" s="102" t="s">
        <v>2337</v>
      </c>
      <c r="E422" s="100" t="str">
        <f t="shared" si="300"/>
        <v>Beda</v>
      </c>
      <c r="F422" s="63">
        <f t="shared" si="475"/>
        <v>392</v>
      </c>
      <c r="G422" s="63">
        <v>13</v>
      </c>
      <c r="H422" s="64" t="s">
        <v>59</v>
      </c>
      <c r="I422" s="62" t="s">
        <v>2338</v>
      </c>
      <c r="J422" s="66">
        <v>9031.949077692112</v>
      </c>
      <c r="K422" s="533" t="s">
        <v>104</v>
      </c>
      <c r="L422" s="68">
        <f t="shared" si="476"/>
        <v>5502</v>
      </c>
      <c r="M422" s="63"/>
      <c r="N422" s="392">
        <f t="shared" si="477"/>
        <v>2012</v>
      </c>
      <c r="O422" s="382" t="s">
        <v>1497</v>
      </c>
      <c r="P422" s="68">
        <v>5502</v>
      </c>
      <c r="Q422" s="68">
        <v>0</v>
      </c>
      <c r="R422" s="68">
        <v>5502</v>
      </c>
      <c r="S422" s="68">
        <f t="shared" si="478"/>
        <v>5502</v>
      </c>
      <c r="T422" s="63"/>
      <c r="U422" s="347"/>
      <c r="V422" s="370"/>
      <c r="W422" s="370"/>
      <c r="X422" s="370"/>
      <c r="Y422" s="68">
        <f t="shared" si="479"/>
        <v>0</v>
      </c>
      <c r="Z422" s="345"/>
      <c r="AA422" s="347"/>
      <c r="AB422" s="345"/>
      <c r="AC422" s="345"/>
      <c r="AD422" s="345"/>
      <c r="AE422" s="68">
        <f t="shared" si="480"/>
        <v>0</v>
      </c>
      <c r="AF422" s="366">
        <v>2023</v>
      </c>
      <c r="AG422" s="358" t="s">
        <v>1090</v>
      </c>
      <c r="AH422" s="359"/>
      <c r="AI422" s="360"/>
      <c r="AJ422" s="360"/>
      <c r="AK422" s="360" t="str">
        <f t="shared" si="481"/>
        <v/>
      </c>
      <c r="AL422" s="18"/>
      <c r="AM422" s="360" t="str">
        <f t="shared" si="482"/>
        <v>2</v>
      </c>
      <c r="AN422" s="360" t="str">
        <f t="shared" si="483"/>
        <v>1</v>
      </c>
      <c r="AO422" s="360"/>
      <c r="AP422" s="346" t="str">
        <f t="shared" si="484"/>
        <v>2</v>
      </c>
      <c r="AQ422" s="360" t="str">
        <f t="shared" si="485"/>
        <v>2.1..2</v>
      </c>
      <c r="AR422" s="530"/>
      <c r="AS422" s="360"/>
      <c r="AT422" s="362"/>
      <c r="AU422" s="362"/>
      <c r="AV422" s="362"/>
      <c r="AW422" s="362"/>
      <c r="AX422" s="362"/>
      <c r="AY422" s="362"/>
      <c r="AZ422" s="362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</row>
    <row r="423" spans="1:68" ht="20.25" customHeight="1">
      <c r="A423" s="100">
        <v>76</v>
      </c>
      <c r="B423" s="100" t="s">
        <v>63</v>
      </c>
      <c r="C423" s="100">
        <v>76</v>
      </c>
      <c r="D423" s="102" t="s">
        <v>2339</v>
      </c>
      <c r="E423" s="100" t="str">
        <f t="shared" si="300"/>
        <v>Sama</v>
      </c>
      <c r="F423" s="63"/>
      <c r="G423" s="341"/>
      <c r="H423" s="379"/>
      <c r="I423" s="379" t="s">
        <v>2339</v>
      </c>
      <c r="J423" s="380">
        <f>SUM(J424:J429)</f>
        <v>39484.983864554226</v>
      </c>
      <c r="K423" s="353">
        <f>COUNTIF(K424:K429,"D") + COUNTIF(K424:K429,"DS")</f>
        <v>6</v>
      </c>
      <c r="L423" s="383">
        <f>SUBTOTAL(9,L424:L429)</f>
        <v>45850.61</v>
      </c>
      <c r="M423" s="342"/>
      <c r="N423" s="355"/>
      <c r="O423" s="356"/>
      <c r="P423" s="383">
        <f t="shared" ref="P423:S423" si="489">SUBTOTAL(9,P424:P429)</f>
        <v>32764</v>
      </c>
      <c r="Q423" s="383">
        <f t="shared" si="489"/>
        <v>0</v>
      </c>
      <c r="R423" s="383">
        <f t="shared" si="489"/>
        <v>40685</v>
      </c>
      <c r="S423" s="383">
        <f t="shared" si="489"/>
        <v>40685</v>
      </c>
      <c r="T423" s="342"/>
      <c r="U423" s="351"/>
      <c r="V423" s="384">
        <v>31634.61</v>
      </c>
      <c r="W423" s="384">
        <v>607</v>
      </c>
      <c r="X423" s="384">
        <v>32241.61</v>
      </c>
      <c r="Y423" s="383">
        <f>SUBTOTAL(9,Y424:Y429)</f>
        <v>14111</v>
      </c>
      <c r="Z423" s="337">
        <v>1</v>
      </c>
      <c r="AA423" s="351">
        <v>2</v>
      </c>
      <c r="AB423" s="337">
        <v>31634.61</v>
      </c>
      <c r="AC423" s="337">
        <v>607</v>
      </c>
      <c r="AD423" s="337">
        <v>32241.61</v>
      </c>
      <c r="AE423" s="383">
        <f>SUBTOTAL(9,AE424:AE429)</f>
        <v>14822.630000000001</v>
      </c>
      <c r="AF423" s="357" t="s">
        <v>1138</v>
      </c>
      <c r="AG423" s="358"/>
      <c r="AH423" s="359"/>
      <c r="AI423" s="360"/>
      <c r="AJ423" s="360" t="s">
        <v>1800</v>
      </c>
      <c r="AK423" s="361">
        <f>COUNTIF(AK424:AK429,"V") + COUNTIF(AK424:AK429,"VV") + COUNTIF(AK424:AK429,"VVV")</f>
        <v>3</v>
      </c>
      <c r="AL423" s="18"/>
      <c r="AM423" s="360"/>
      <c r="AN423" s="360" t="str">
        <f t="shared" si="483"/>
        <v>1</v>
      </c>
      <c r="AO423" s="360"/>
      <c r="AP423" s="346"/>
      <c r="AQ423" s="360" t="str">
        <f t="shared" si="485"/>
        <v>.1..</v>
      </c>
      <c r="AR423" s="530"/>
      <c r="AS423" s="360"/>
      <c r="AT423" s="362"/>
      <c r="AU423" s="362"/>
      <c r="AV423" s="362"/>
      <c r="AW423" s="362"/>
      <c r="AX423" s="362"/>
      <c r="AY423" s="362"/>
      <c r="AZ423" s="362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</row>
    <row r="424" spans="1:68" ht="20.25" customHeight="1">
      <c r="A424" s="100">
        <v>76</v>
      </c>
      <c r="B424" s="100" t="s">
        <v>63</v>
      </c>
      <c r="C424" s="100" t="s">
        <v>2340</v>
      </c>
      <c r="D424" s="102" t="s">
        <v>778</v>
      </c>
      <c r="E424" s="100" t="str">
        <f t="shared" si="300"/>
        <v>Sama</v>
      </c>
      <c r="F424" s="63">
        <f t="shared" ref="F424:F428" si="490">SUBTOTAL(3,$G$7:G424)</f>
        <v>393</v>
      </c>
      <c r="G424" s="63">
        <v>1</v>
      </c>
      <c r="H424" s="62" t="s">
        <v>63</v>
      </c>
      <c r="I424" s="62" t="s">
        <v>778</v>
      </c>
      <c r="J424" s="66">
        <v>739.54241103574157</v>
      </c>
      <c r="K424" s="533" t="s">
        <v>104</v>
      </c>
      <c r="L424" s="68">
        <f t="shared" ref="L424:L428" si="491">IF(S424&gt;0,S424,IF(Y424&gt;0,Y424,IF(AE424&gt;0,AE424,0)))</f>
        <v>2513</v>
      </c>
      <c r="M424" s="63"/>
      <c r="N424" s="392">
        <f t="shared" ref="N424:N429" si="492">VALUE(RIGHT(O424,4))</f>
        <v>2012</v>
      </c>
      <c r="O424" s="382" t="s">
        <v>682</v>
      </c>
      <c r="P424" s="68">
        <v>2513</v>
      </c>
      <c r="Q424" s="68">
        <v>0</v>
      </c>
      <c r="R424" s="68">
        <v>2513</v>
      </c>
      <c r="S424" s="68">
        <f t="shared" ref="S424:S429" si="493">IF(R424&gt;0,R424,IF(P424&gt;0,P424,0))</f>
        <v>2513</v>
      </c>
      <c r="T424" s="63"/>
      <c r="U424" s="347"/>
      <c r="V424" s="370"/>
      <c r="W424" s="370"/>
      <c r="X424" s="370"/>
      <c r="Y424" s="68">
        <f>IF(X424&gt;0,X424,IF(V424&gt;0,V424,0))</f>
        <v>0</v>
      </c>
      <c r="Z424" s="345"/>
      <c r="AA424" s="347"/>
      <c r="AB424" s="345"/>
      <c r="AC424" s="345"/>
      <c r="AD424" s="345"/>
      <c r="AE424" s="68">
        <f>IF(AD424&gt;0,AD424,IF(AB424&gt;0,AB424,0))</f>
        <v>0</v>
      </c>
      <c r="AF424" s="366" t="s">
        <v>1097</v>
      </c>
      <c r="AG424" s="358"/>
      <c r="AH424" s="359"/>
      <c r="AI424" s="360"/>
      <c r="AJ424" s="360"/>
      <c r="AK424" s="360" t="str">
        <f t="shared" ref="AK424:AK429" si="494">CONCATENATE(M424,T424,Z424)</f>
        <v/>
      </c>
      <c r="AL424" s="18"/>
      <c r="AM424" s="360" t="str">
        <f t="shared" ref="AM424:AM429" si="495">IF(N424=0,"3",IF(N424&lt;=2018,"2","1"))</f>
        <v>2</v>
      </c>
      <c r="AN424" s="360" t="str">
        <f t="shared" si="483"/>
        <v>1</v>
      </c>
      <c r="AO424" s="360"/>
      <c r="AP424" s="346" t="str">
        <f t="shared" ref="AP424:AP429" si="496">IF(Y424&gt;0,"1",IF(AE424&gt;0,"1","2"))</f>
        <v>2</v>
      </c>
      <c r="AQ424" s="360" t="str">
        <f t="shared" si="485"/>
        <v>2.1..2</v>
      </c>
      <c r="AR424" s="530"/>
      <c r="AS424" s="360"/>
      <c r="AT424" s="362"/>
      <c r="AU424" s="362"/>
      <c r="AV424" s="362"/>
      <c r="AW424" s="362"/>
      <c r="AX424" s="362"/>
      <c r="AY424" s="362"/>
      <c r="AZ424" s="362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</row>
    <row r="425" spans="1:68" ht="20.25" customHeight="1">
      <c r="A425" s="100">
        <v>76</v>
      </c>
      <c r="B425" s="100" t="s">
        <v>63</v>
      </c>
      <c r="C425" s="100" t="s">
        <v>2341</v>
      </c>
      <c r="D425" s="102" t="s">
        <v>779</v>
      </c>
      <c r="E425" s="100" t="str">
        <f t="shared" si="300"/>
        <v>Sama</v>
      </c>
      <c r="F425" s="63">
        <f t="shared" si="490"/>
        <v>394</v>
      </c>
      <c r="G425" s="63">
        <v>2</v>
      </c>
      <c r="H425" s="62" t="s">
        <v>63</v>
      </c>
      <c r="I425" s="62" t="s">
        <v>779</v>
      </c>
      <c r="J425" s="66">
        <v>10176.075079923938</v>
      </c>
      <c r="K425" s="533" t="s">
        <v>104</v>
      </c>
      <c r="L425" s="68">
        <f t="shared" si="491"/>
        <v>11251</v>
      </c>
      <c r="M425" s="63"/>
      <c r="N425" s="392">
        <f t="shared" si="492"/>
        <v>2015</v>
      </c>
      <c r="O425" s="382" t="s">
        <v>780</v>
      </c>
      <c r="P425" s="68">
        <v>11251</v>
      </c>
      <c r="Q425" s="68">
        <v>0</v>
      </c>
      <c r="R425" s="68">
        <v>11251</v>
      </c>
      <c r="S425" s="68">
        <f t="shared" si="493"/>
        <v>11251</v>
      </c>
      <c r="T425" s="63"/>
      <c r="U425" s="549" t="s">
        <v>1790</v>
      </c>
      <c r="V425" s="631" t="s">
        <v>1791</v>
      </c>
      <c r="W425" s="564"/>
      <c r="X425" s="559"/>
      <c r="Y425" s="68"/>
      <c r="Z425" s="345"/>
      <c r="AA425" s="385"/>
      <c r="AB425" s="345"/>
      <c r="AC425" s="345"/>
      <c r="AD425" s="345"/>
      <c r="AE425" s="68"/>
      <c r="AF425" s="366" t="s">
        <v>1097</v>
      </c>
      <c r="AG425" s="358"/>
      <c r="AH425" s="359"/>
      <c r="AI425" s="360"/>
      <c r="AJ425" s="360" t="s">
        <v>1442</v>
      </c>
      <c r="AK425" s="360" t="str">
        <f t="shared" si="494"/>
        <v/>
      </c>
      <c r="AL425" s="18"/>
      <c r="AM425" s="360" t="str">
        <f t="shared" si="495"/>
        <v>2</v>
      </c>
      <c r="AN425" s="360" t="str">
        <f t="shared" si="483"/>
        <v>1</v>
      </c>
      <c r="AO425" s="360"/>
      <c r="AP425" s="346" t="str">
        <f t="shared" si="496"/>
        <v>2</v>
      </c>
      <c r="AQ425" s="360" t="str">
        <f t="shared" si="485"/>
        <v>2.1..2</v>
      </c>
      <c r="AR425" s="530"/>
      <c r="AS425" s="360"/>
      <c r="AT425" s="362"/>
      <c r="AU425" s="362"/>
      <c r="AV425" s="362"/>
      <c r="AW425" s="362"/>
      <c r="AX425" s="362"/>
      <c r="AY425" s="362"/>
      <c r="AZ425" s="362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</row>
    <row r="426" spans="1:68" ht="20.25" customHeight="1">
      <c r="A426" s="100">
        <v>76</v>
      </c>
      <c r="B426" s="100" t="s">
        <v>63</v>
      </c>
      <c r="C426" s="100" t="s">
        <v>2342</v>
      </c>
      <c r="D426" s="102" t="s">
        <v>781</v>
      </c>
      <c r="E426" s="100" t="str">
        <f t="shared" si="300"/>
        <v>Sama</v>
      </c>
      <c r="F426" s="63">
        <f t="shared" si="490"/>
        <v>395</v>
      </c>
      <c r="G426" s="63">
        <v>3</v>
      </c>
      <c r="H426" s="62" t="s">
        <v>63</v>
      </c>
      <c r="I426" s="62" t="s">
        <v>781</v>
      </c>
      <c r="J426" s="66">
        <v>7471.4539492172134</v>
      </c>
      <c r="K426" s="533" t="s">
        <v>91</v>
      </c>
      <c r="L426" s="68">
        <f t="shared" si="491"/>
        <v>7921</v>
      </c>
      <c r="M426" s="63" t="s">
        <v>1076</v>
      </c>
      <c r="N426" s="365">
        <f t="shared" si="492"/>
        <v>19</v>
      </c>
      <c r="O426" s="347" t="s">
        <v>1793</v>
      </c>
      <c r="P426" s="370"/>
      <c r="Q426" s="370"/>
      <c r="R426" s="370">
        <v>7921</v>
      </c>
      <c r="S426" s="68">
        <f t="shared" si="493"/>
        <v>7921</v>
      </c>
      <c r="T426" s="63"/>
      <c r="U426" s="347"/>
      <c r="V426" s="370"/>
      <c r="W426" s="370"/>
      <c r="X426" s="370"/>
      <c r="Y426" s="68">
        <f t="shared" ref="Y426:Y429" si="497">IF(X426&gt;0,X426,IF(V426&gt;0,V426,0))</f>
        <v>0</v>
      </c>
      <c r="Z426" s="345"/>
      <c r="AA426" s="347" t="s">
        <v>1794</v>
      </c>
      <c r="AB426" s="345">
        <v>9768.02</v>
      </c>
      <c r="AC426" s="345"/>
      <c r="AD426" s="345"/>
      <c r="AE426" s="68">
        <f t="shared" ref="AE426:AE429" si="498">IF(AD426&gt;0,AD426,IF(AB426&gt;0,AB426,0))</f>
        <v>9768.02</v>
      </c>
      <c r="AF426" s="366">
        <v>2020</v>
      </c>
      <c r="AG426" s="358"/>
      <c r="AH426" s="359"/>
      <c r="AI426" s="360"/>
      <c r="AJ426" s="360"/>
      <c r="AK426" s="360" t="str">
        <f t="shared" si="494"/>
        <v>V</v>
      </c>
      <c r="AL426" s="18"/>
      <c r="AM426" s="360" t="str">
        <f t="shared" si="495"/>
        <v>2</v>
      </c>
      <c r="AN426" s="360" t="str">
        <f t="shared" si="483"/>
        <v>1</v>
      </c>
      <c r="AO426" s="360"/>
      <c r="AP426" s="346" t="str">
        <f t="shared" si="496"/>
        <v>1</v>
      </c>
      <c r="AQ426" s="360" t="str">
        <f t="shared" si="485"/>
        <v>2.1..1</v>
      </c>
      <c r="AR426" s="530"/>
      <c r="AS426" s="362" t="s">
        <v>2343</v>
      </c>
      <c r="AT426" s="367">
        <v>8108</v>
      </c>
      <c r="AU426" s="367">
        <v>7916</v>
      </c>
      <c r="AV426" s="368">
        <f t="shared" ref="AV426:AV427" si="499">AU426/AT426</f>
        <v>0.97631968426245685</v>
      </c>
      <c r="AW426" s="367">
        <v>5309</v>
      </c>
      <c r="AX426" s="368">
        <f t="shared" ref="AX426:AX427" si="500">AW426/AT426</f>
        <v>0.65478539713862849</v>
      </c>
      <c r="AY426" s="367">
        <v>2799</v>
      </c>
      <c r="AZ426" s="368">
        <f t="shared" ref="AZ426:AZ427" si="501">AY426/AT426</f>
        <v>0.34521460286137151</v>
      </c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</row>
    <row r="427" spans="1:68" ht="20.25" customHeight="1">
      <c r="A427" s="100">
        <v>76</v>
      </c>
      <c r="B427" s="100" t="s">
        <v>63</v>
      </c>
      <c r="C427" s="100" t="s">
        <v>2344</v>
      </c>
      <c r="D427" s="102" t="s">
        <v>783</v>
      </c>
      <c r="E427" s="100" t="str">
        <f t="shared" si="300"/>
        <v>Sama</v>
      </c>
      <c r="F427" s="63">
        <f t="shared" si="490"/>
        <v>396</v>
      </c>
      <c r="G427" s="63">
        <v>4</v>
      </c>
      <c r="H427" s="62" t="s">
        <v>63</v>
      </c>
      <c r="I427" s="62" t="s">
        <v>783</v>
      </c>
      <c r="J427" s="66">
        <v>3671.2411340667823</v>
      </c>
      <c r="K427" s="533" t="s">
        <v>91</v>
      </c>
      <c r="L427" s="68">
        <f t="shared" si="491"/>
        <v>5054.6099999999997</v>
      </c>
      <c r="M427" s="63"/>
      <c r="N427" s="392" t="e">
        <f t="shared" si="492"/>
        <v>#VALUE!</v>
      </c>
      <c r="O427" s="382"/>
      <c r="P427" s="68"/>
      <c r="Q427" s="68"/>
      <c r="R427" s="68"/>
      <c r="S427" s="68">
        <f t="shared" si="493"/>
        <v>0</v>
      </c>
      <c r="T427" s="63"/>
      <c r="U427" s="347"/>
      <c r="V427" s="370"/>
      <c r="W427" s="370"/>
      <c r="X427" s="370"/>
      <c r="Y427" s="68">
        <f t="shared" si="497"/>
        <v>0</v>
      </c>
      <c r="Z427" s="345" t="s">
        <v>1076</v>
      </c>
      <c r="AA427" s="531" t="s">
        <v>784</v>
      </c>
      <c r="AB427" s="345">
        <v>5054.6099999999997</v>
      </c>
      <c r="AC427" s="345">
        <v>0</v>
      </c>
      <c r="AD427" s="345">
        <v>5054.6099999999997</v>
      </c>
      <c r="AE427" s="68">
        <f t="shared" si="498"/>
        <v>5054.6099999999997</v>
      </c>
      <c r="AF427" s="366">
        <v>2020</v>
      </c>
      <c r="AG427" s="358"/>
      <c r="AH427" s="359"/>
      <c r="AI427" s="360"/>
      <c r="AJ427" s="360"/>
      <c r="AK427" s="360" t="str">
        <f t="shared" si="494"/>
        <v>V</v>
      </c>
      <c r="AL427" s="18"/>
      <c r="AM427" s="360" t="e">
        <f t="shared" si="495"/>
        <v>#VALUE!</v>
      </c>
      <c r="AN427" s="360" t="str">
        <f t="shared" si="483"/>
        <v>2</v>
      </c>
      <c r="AO427" s="360"/>
      <c r="AP427" s="346" t="str">
        <f t="shared" si="496"/>
        <v>1</v>
      </c>
      <c r="AQ427" s="360" t="e">
        <f t="shared" si="485"/>
        <v>#VALUE!</v>
      </c>
      <c r="AR427" s="530"/>
      <c r="AS427" s="362" t="s">
        <v>2345</v>
      </c>
      <c r="AT427" s="367">
        <v>3671</v>
      </c>
      <c r="AU427" s="367">
        <v>4435</v>
      </c>
      <c r="AV427" s="368">
        <f t="shared" si="499"/>
        <v>1.2081176791065105</v>
      </c>
      <c r="AW427" s="367">
        <v>4435</v>
      </c>
      <c r="AX427" s="368">
        <f t="shared" si="500"/>
        <v>1.2081176791065105</v>
      </c>
      <c r="AY427" s="362" t="s">
        <v>1032</v>
      </c>
      <c r="AZ427" s="368" t="e">
        <f t="shared" si="501"/>
        <v>#VALUE!</v>
      </c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</row>
    <row r="428" spans="1:68" ht="20.25" customHeight="1">
      <c r="A428" s="100">
        <v>76</v>
      </c>
      <c r="B428" s="100" t="s">
        <v>63</v>
      </c>
      <c r="C428" s="100" t="s">
        <v>2346</v>
      </c>
      <c r="D428" s="102" t="s">
        <v>785</v>
      </c>
      <c r="E428" s="100" t="str">
        <f t="shared" si="300"/>
        <v>Beda</v>
      </c>
      <c r="F428" s="63">
        <f t="shared" si="490"/>
        <v>397</v>
      </c>
      <c r="G428" s="63">
        <v>5</v>
      </c>
      <c r="H428" s="62" t="s">
        <v>63</v>
      </c>
      <c r="I428" s="62" t="s">
        <v>2347</v>
      </c>
      <c r="J428" s="66">
        <v>811.96037385634895</v>
      </c>
      <c r="K428" s="533" t="s">
        <v>104</v>
      </c>
      <c r="L428" s="68">
        <f t="shared" si="491"/>
        <v>5000</v>
      </c>
      <c r="M428" s="63"/>
      <c r="N428" s="392">
        <f t="shared" si="492"/>
        <v>2014</v>
      </c>
      <c r="O428" s="382" t="s">
        <v>321</v>
      </c>
      <c r="P428" s="68">
        <v>5000</v>
      </c>
      <c r="Q428" s="68">
        <v>0</v>
      </c>
      <c r="R428" s="68">
        <v>5000</v>
      </c>
      <c r="S428" s="68">
        <f t="shared" si="493"/>
        <v>5000</v>
      </c>
      <c r="T428" s="63"/>
      <c r="U428" s="347"/>
      <c r="V428" s="370"/>
      <c r="W428" s="370"/>
      <c r="X428" s="370"/>
      <c r="Y428" s="68">
        <f t="shared" si="497"/>
        <v>0</v>
      </c>
      <c r="Z428" s="345"/>
      <c r="AA428" s="347"/>
      <c r="AB428" s="345"/>
      <c r="AC428" s="345"/>
      <c r="AD428" s="345"/>
      <c r="AE428" s="68">
        <f t="shared" si="498"/>
        <v>0</v>
      </c>
      <c r="AF428" s="366" t="s">
        <v>1097</v>
      </c>
      <c r="AG428" s="358"/>
      <c r="AH428" s="359"/>
      <c r="AI428" s="360"/>
      <c r="AJ428" s="360" t="s">
        <v>1442</v>
      </c>
      <c r="AK428" s="360" t="str">
        <f t="shared" si="494"/>
        <v/>
      </c>
      <c r="AL428" s="18"/>
      <c r="AM428" s="360" t="str">
        <f t="shared" si="495"/>
        <v>2</v>
      </c>
      <c r="AN428" s="360" t="str">
        <f t="shared" si="483"/>
        <v>1</v>
      </c>
      <c r="AO428" s="360"/>
      <c r="AP428" s="346" t="str">
        <f t="shared" si="496"/>
        <v>2</v>
      </c>
      <c r="AQ428" s="360" t="str">
        <f t="shared" si="485"/>
        <v>2.1..2</v>
      </c>
      <c r="AR428" s="530"/>
      <c r="AS428" s="360"/>
      <c r="AT428" s="362"/>
      <c r="AU428" s="362"/>
      <c r="AV428" s="362"/>
      <c r="AW428" s="362"/>
      <c r="AX428" s="362"/>
      <c r="AY428" s="362"/>
      <c r="AZ428" s="362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</row>
    <row r="429" spans="1:68" ht="20.25" customHeight="1">
      <c r="A429" s="100">
        <v>76</v>
      </c>
      <c r="B429" s="100" t="s">
        <v>63</v>
      </c>
      <c r="C429" s="100" t="s">
        <v>2348</v>
      </c>
      <c r="D429" s="102" t="s">
        <v>786</v>
      </c>
      <c r="E429" s="100" t="str">
        <f t="shared" si="300"/>
        <v>Sama</v>
      </c>
      <c r="F429" s="63">
        <f>SUBTOTAL(3,$G$7:G472)</f>
        <v>439</v>
      </c>
      <c r="G429" s="63">
        <v>6</v>
      </c>
      <c r="H429" s="62" t="s">
        <v>63</v>
      </c>
      <c r="I429" s="62" t="s">
        <v>786</v>
      </c>
      <c r="J429" s="66">
        <v>16614.710916454202</v>
      </c>
      <c r="K429" s="533" t="s">
        <v>91</v>
      </c>
      <c r="L429" s="68">
        <f>Y429</f>
        <v>14111</v>
      </c>
      <c r="M429" s="63"/>
      <c r="N429" s="392">
        <f t="shared" si="492"/>
        <v>2013</v>
      </c>
      <c r="O429" s="382" t="s">
        <v>167</v>
      </c>
      <c r="P429" s="68">
        <v>14000</v>
      </c>
      <c r="Q429" s="68">
        <v>0</v>
      </c>
      <c r="R429" s="68">
        <v>14000</v>
      </c>
      <c r="S429" s="68">
        <f t="shared" si="493"/>
        <v>14000</v>
      </c>
      <c r="T429" s="63" t="s">
        <v>1076</v>
      </c>
      <c r="U429" s="385" t="s">
        <v>787</v>
      </c>
      <c r="V429" s="370">
        <v>13504</v>
      </c>
      <c r="W429" s="370">
        <v>607</v>
      </c>
      <c r="X429" s="370">
        <v>14111</v>
      </c>
      <c r="Y429" s="68">
        <f t="shared" si="497"/>
        <v>14111</v>
      </c>
      <c r="Z429" s="345"/>
      <c r="AA429" s="385"/>
      <c r="AB429" s="345"/>
      <c r="AC429" s="345"/>
      <c r="AD429" s="345"/>
      <c r="AE429" s="68">
        <f t="shared" si="498"/>
        <v>0</v>
      </c>
      <c r="AF429" s="366">
        <v>2020</v>
      </c>
      <c r="AG429" s="358"/>
      <c r="AH429" s="359"/>
      <c r="AI429" s="360"/>
      <c r="AJ429" s="360" t="s">
        <v>1798</v>
      </c>
      <c r="AK429" s="360" t="str">
        <f t="shared" si="494"/>
        <v>V</v>
      </c>
      <c r="AL429" s="18"/>
      <c r="AM429" s="360" t="str">
        <f t="shared" si="495"/>
        <v>2</v>
      </c>
      <c r="AN429" s="360" t="str">
        <f t="shared" si="483"/>
        <v>1</v>
      </c>
      <c r="AO429" s="360"/>
      <c r="AP429" s="346" t="str">
        <f t="shared" si="496"/>
        <v>1</v>
      </c>
      <c r="AQ429" s="360" t="str">
        <f t="shared" si="485"/>
        <v>2.1..1</v>
      </c>
      <c r="AR429" s="530"/>
      <c r="AS429" s="362" t="s">
        <v>173</v>
      </c>
      <c r="AT429" s="367">
        <v>16615</v>
      </c>
      <c r="AU429" s="367">
        <v>13907</v>
      </c>
      <c r="AV429" s="368">
        <f>AU429/AT429</f>
        <v>0.83701474571170631</v>
      </c>
      <c r="AW429" s="367">
        <v>13148</v>
      </c>
      <c r="AX429" s="368">
        <f>AW429/AT429</f>
        <v>0.79133313271140537</v>
      </c>
      <c r="AY429" s="367">
        <v>3574</v>
      </c>
      <c r="AZ429" s="368">
        <f>AY429/AT429</f>
        <v>0.21510683117664761</v>
      </c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</row>
    <row r="430" spans="1:68" ht="20.25" customHeight="1">
      <c r="A430" s="100">
        <v>73</v>
      </c>
      <c r="B430" s="100" t="s">
        <v>60</v>
      </c>
      <c r="C430" s="100">
        <v>73</v>
      </c>
      <c r="D430" s="102" t="s">
        <v>2349</v>
      </c>
      <c r="E430" s="100" t="str">
        <f t="shared" si="300"/>
        <v>Sama</v>
      </c>
      <c r="F430" s="63"/>
      <c r="G430" s="341"/>
      <c r="H430" s="379"/>
      <c r="I430" s="379" t="s">
        <v>2349</v>
      </c>
      <c r="J430" s="380">
        <f>SUM(J431:J454)</f>
        <v>654818.39564441389</v>
      </c>
      <c r="K430" s="353">
        <f>COUNTIF(K431:K454,"D") + COUNTIF(K431:K454,"DS")</f>
        <v>23</v>
      </c>
      <c r="L430" s="383">
        <f>SUBTOTAL(9,L431:L454)</f>
        <v>648315.84</v>
      </c>
      <c r="M430" s="342"/>
      <c r="N430" s="355"/>
      <c r="O430" s="356"/>
      <c r="P430" s="383">
        <f t="shared" ref="P430:Y430" si="502">SUBTOTAL(9,P431:P454)</f>
        <v>715816.71</v>
      </c>
      <c r="Q430" s="383">
        <f t="shared" si="502"/>
        <v>0</v>
      </c>
      <c r="R430" s="383">
        <f t="shared" si="502"/>
        <v>742139.71</v>
      </c>
      <c r="S430" s="383">
        <f t="shared" si="502"/>
        <v>742139.71</v>
      </c>
      <c r="T430" s="383">
        <f t="shared" si="502"/>
        <v>0</v>
      </c>
      <c r="U430" s="406">
        <f t="shared" si="502"/>
        <v>0</v>
      </c>
      <c r="V430" s="383">
        <f t="shared" si="502"/>
        <v>98976.98</v>
      </c>
      <c r="W430" s="383">
        <f t="shared" si="502"/>
        <v>214.3</v>
      </c>
      <c r="X430" s="383">
        <f t="shared" si="502"/>
        <v>85332.72</v>
      </c>
      <c r="Y430" s="383">
        <f t="shared" si="502"/>
        <v>99230.790000000008</v>
      </c>
      <c r="Z430" s="383">
        <v>4</v>
      </c>
      <c r="AA430" s="406">
        <v>4</v>
      </c>
      <c r="AB430" s="383">
        <f t="shared" ref="AB430:AE430" si="503">SUBTOTAL(9,AB431:AB454)</f>
        <v>285440.78999999998</v>
      </c>
      <c r="AC430" s="383">
        <f t="shared" si="503"/>
        <v>15581.12</v>
      </c>
      <c r="AD430" s="383">
        <f t="shared" si="503"/>
        <v>111479.38</v>
      </c>
      <c r="AE430" s="383">
        <f t="shared" si="503"/>
        <v>290615.83</v>
      </c>
      <c r="AF430" s="357" t="s">
        <v>1138</v>
      </c>
      <c r="AG430" s="358"/>
      <c r="AH430" s="359"/>
      <c r="AI430" s="360"/>
      <c r="AJ430" s="360"/>
      <c r="AK430" s="361">
        <f>COUNTIF(AK431:AK454,"V") + COUNTIF(AK431:AK454,"VV") + COUNTIF(AK431:AK454,"VVV")</f>
        <v>14</v>
      </c>
      <c r="AL430" s="18"/>
      <c r="AM430" s="360"/>
      <c r="AN430" s="360"/>
      <c r="AO430" s="360"/>
      <c r="AP430" s="346"/>
      <c r="AQ430" s="360"/>
      <c r="AR430" s="530"/>
      <c r="AS430" s="360"/>
      <c r="AT430" s="362"/>
      <c r="AU430" s="362"/>
      <c r="AV430" s="362"/>
      <c r="AW430" s="362"/>
      <c r="AX430" s="362"/>
      <c r="AY430" s="362"/>
      <c r="AZ430" s="362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</row>
    <row r="431" spans="1:68" ht="20.25" customHeight="1">
      <c r="A431" s="100">
        <v>73</v>
      </c>
      <c r="B431" s="100" t="s">
        <v>60</v>
      </c>
      <c r="C431" s="100" t="s">
        <v>2350</v>
      </c>
      <c r="D431" s="102" t="s">
        <v>788</v>
      </c>
      <c r="E431" s="100" t="str">
        <f t="shared" si="300"/>
        <v>Sama</v>
      </c>
      <c r="F431" s="63">
        <f t="shared" ref="F431:F454" si="504">SUBTOTAL(3,$G$7:G431)</f>
        <v>399</v>
      </c>
      <c r="G431" s="63">
        <v>1</v>
      </c>
      <c r="H431" s="64" t="s">
        <v>60</v>
      </c>
      <c r="I431" s="64" t="s">
        <v>788</v>
      </c>
      <c r="J431" s="66">
        <v>6584.5753760067028</v>
      </c>
      <c r="K431" s="533" t="s">
        <v>91</v>
      </c>
      <c r="L431" s="68">
        <f t="shared" ref="L431:L432" si="505">AE431</f>
        <v>6872.68</v>
      </c>
      <c r="M431" s="63"/>
      <c r="N431" s="365">
        <f t="shared" ref="N431:N454" si="506">VALUE(RIGHT(O431,4))</f>
        <v>2012</v>
      </c>
      <c r="O431" s="531" t="s">
        <v>588</v>
      </c>
      <c r="P431" s="68">
        <v>15480</v>
      </c>
      <c r="Q431" s="68">
        <v>0</v>
      </c>
      <c r="R431" s="68">
        <v>15480</v>
      </c>
      <c r="S431" s="68">
        <f t="shared" ref="S431:S454" si="507">IF(R431&gt;0,R431,IF(P431&gt;0,P431,0))</f>
        <v>15480</v>
      </c>
      <c r="T431" s="63"/>
      <c r="U431" s="347"/>
      <c r="V431" s="370"/>
      <c r="W431" s="370"/>
      <c r="X431" s="370"/>
      <c r="Y431" s="68">
        <f t="shared" ref="Y431:Y454" si="508">IF(X431&gt;0,X431,IF(V431&gt;0,V431,0))</f>
        <v>0</v>
      </c>
      <c r="Z431" s="345" t="s">
        <v>1076</v>
      </c>
      <c r="AA431" s="537" t="s">
        <v>1708</v>
      </c>
      <c r="AB431" s="345">
        <v>5734.95</v>
      </c>
      <c r="AC431" s="345">
        <v>1137.73</v>
      </c>
      <c r="AD431" s="345">
        <v>6872.68</v>
      </c>
      <c r="AE431" s="68">
        <f t="shared" ref="AE431:AE454" si="509">IF(AD431&gt;0,AD431,IF(AB431&gt;0,AB431,0))</f>
        <v>6872.68</v>
      </c>
      <c r="AF431" s="364">
        <v>2022</v>
      </c>
      <c r="AG431" s="344"/>
      <c r="AH431" s="84"/>
      <c r="AI431" s="63"/>
      <c r="AJ431" s="429" t="s">
        <v>1709</v>
      </c>
      <c r="AK431" s="63" t="str">
        <f t="shared" ref="AK431:AK454" si="510">CONCATENATE(M431,T431,Z431)</f>
        <v>V</v>
      </c>
      <c r="AL431" s="47"/>
      <c r="AM431" s="63" t="str">
        <f t="shared" ref="AM431:AM454" si="511">IF(N431=0,"3",IF(N431&lt;=2018,"2","1"))</f>
        <v>2</v>
      </c>
      <c r="AN431" s="63" t="str">
        <f t="shared" ref="AN431:AN516" si="512">IF(S431&gt;0,"1","2")</f>
        <v>1</v>
      </c>
      <c r="AO431" s="63"/>
      <c r="AP431" s="346" t="str">
        <f t="shared" ref="AP431:AP454" si="513">IF(Y431&gt;0,"1",IF(AE431&gt;0,"1","2"))</f>
        <v>1</v>
      </c>
      <c r="AQ431" s="63" t="str">
        <f t="shared" ref="AQ431:AQ454" si="514">CONCATENATE(AM431,".",AN431,".",AO431,".",AP431)</f>
        <v>2.1..1</v>
      </c>
      <c r="AR431" s="534"/>
      <c r="AS431" s="64" t="s">
        <v>2351</v>
      </c>
      <c r="AT431" s="95">
        <v>6584.58</v>
      </c>
      <c r="AU431" s="95">
        <v>6872.68</v>
      </c>
      <c r="AV431" s="371">
        <f t="shared" ref="AV431:AV433" si="515">AU431/AT431</f>
        <v>1.0437537397981345</v>
      </c>
      <c r="AW431" s="95">
        <v>5431.96</v>
      </c>
      <c r="AX431" s="371">
        <f t="shared" ref="AX431:AX433" si="516">AW431/AT431</f>
        <v>0.82495162941296185</v>
      </c>
      <c r="AY431" s="95">
        <v>1152.6199999999999</v>
      </c>
      <c r="AZ431" s="371">
        <f t="shared" ref="AZ431:AZ433" si="517">AY431/AT431</f>
        <v>0.17504837058703818</v>
      </c>
      <c r="BA431" s="47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</row>
    <row r="432" spans="1:68" ht="20.25" customHeight="1">
      <c r="A432" s="100">
        <v>73</v>
      </c>
      <c r="B432" s="100" t="s">
        <v>60</v>
      </c>
      <c r="C432" s="100" t="s">
        <v>2352</v>
      </c>
      <c r="D432" s="102" t="s">
        <v>789</v>
      </c>
      <c r="E432" s="100" t="str">
        <f t="shared" si="300"/>
        <v>Sama</v>
      </c>
      <c r="F432" s="63">
        <f t="shared" si="504"/>
        <v>400</v>
      </c>
      <c r="G432" s="63">
        <v>2</v>
      </c>
      <c r="H432" s="64" t="s">
        <v>60</v>
      </c>
      <c r="I432" s="64" t="s">
        <v>789</v>
      </c>
      <c r="J432" s="66">
        <v>15702.545830693423</v>
      </c>
      <c r="K432" s="533" t="s">
        <v>91</v>
      </c>
      <c r="L432" s="68">
        <f t="shared" si="505"/>
        <v>9398.92</v>
      </c>
      <c r="M432" s="63"/>
      <c r="N432" s="365">
        <f t="shared" si="506"/>
        <v>2012</v>
      </c>
      <c r="O432" s="531" t="s">
        <v>432</v>
      </c>
      <c r="P432" s="68">
        <v>11488</v>
      </c>
      <c r="Q432" s="68">
        <v>0</v>
      </c>
      <c r="R432" s="68">
        <v>11488</v>
      </c>
      <c r="S432" s="68">
        <f t="shared" si="507"/>
        <v>11488</v>
      </c>
      <c r="T432" s="63"/>
      <c r="U432" s="347"/>
      <c r="V432" s="370"/>
      <c r="W432" s="370"/>
      <c r="X432" s="370"/>
      <c r="Y432" s="68">
        <f t="shared" si="508"/>
        <v>0</v>
      </c>
      <c r="Z432" s="345" t="s">
        <v>1076</v>
      </c>
      <c r="AA432" s="536" t="s">
        <v>1711</v>
      </c>
      <c r="AB432" s="373">
        <v>9398.92</v>
      </c>
      <c r="AC432" s="374">
        <v>467.63</v>
      </c>
      <c r="AD432" s="345"/>
      <c r="AE432" s="68">
        <f t="shared" si="509"/>
        <v>9398.92</v>
      </c>
      <c r="AF432" s="364">
        <v>2022</v>
      </c>
      <c r="AG432" s="344"/>
      <c r="AH432" s="84"/>
      <c r="AI432" s="63"/>
      <c r="AJ432" s="429" t="s">
        <v>1709</v>
      </c>
      <c r="AK432" s="63" t="str">
        <f t="shared" si="510"/>
        <v>V</v>
      </c>
      <c r="AL432" s="47"/>
      <c r="AM432" s="63" t="str">
        <f t="shared" si="511"/>
        <v>2</v>
      </c>
      <c r="AN432" s="63" t="str">
        <f t="shared" si="512"/>
        <v>1</v>
      </c>
      <c r="AO432" s="63"/>
      <c r="AP432" s="346" t="str">
        <f t="shared" si="513"/>
        <v>1</v>
      </c>
      <c r="AQ432" s="63" t="str">
        <f t="shared" si="514"/>
        <v>2.1..1</v>
      </c>
      <c r="AR432" s="534"/>
      <c r="AS432" s="64" t="s">
        <v>2353</v>
      </c>
      <c r="AT432" s="95">
        <v>15702.55</v>
      </c>
      <c r="AU432" s="95">
        <v>9866.5499999999993</v>
      </c>
      <c r="AV432" s="371">
        <f t="shared" si="515"/>
        <v>0.62834061983563172</v>
      </c>
      <c r="AW432" s="95">
        <v>9534.31</v>
      </c>
      <c r="AX432" s="371">
        <f t="shared" si="516"/>
        <v>0.6071822729429297</v>
      </c>
      <c r="AY432" s="95">
        <v>6168.23</v>
      </c>
      <c r="AZ432" s="371">
        <f t="shared" si="517"/>
        <v>0.39281709021783084</v>
      </c>
      <c r="BA432" s="47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</row>
    <row r="433" spans="1:68" ht="20.25" customHeight="1">
      <c r="A433" s="100">
        <v>73</v>
      </c>
      <c r="B433" s="100" t="s">
        <v>60</v>
      </c>
      <c r="C433" s="100" t="s">
        <v>2354</v>
      </c>
      <c r="D433" s="102" t="s">
        <v>791</v>
      </c>
      <c r="E433" s="100" t="str">
        <f t="shared" si="300"/>
        <v>Sama</v>
      </c>
      <c r="F433" s="63">
        <f t="shared" si="504"/>
        <v>401</v>
      </c>
      <c r="G433" s="63">
        <v>3</v>
      </c>
      <c r="H433" s="64" t="s">
        <v>60</v>
      </c>
      <c r="I433" s="64" t="s">
        <v>791</v>
      </c>
      <c r="J433" s="66">
        <v>117841.88784165261</v>
      </c>
      <c r="K433" s="533" t="s">
        <v>91</v>
      </c>
      <c r="L433" s="68">
        <f t="shared" ref="L433:L435" si="518">IF(S433&gt;0,S433,IF(Y433&gt;0,Y433,IF(AE433&gt;0,AE433,0)))</f>
        <v>119216</v>
      </c>
      <c r="M433" s="544" t="s">
        <v>1076</v>
      </c>
      <c r="N433" s="365">
        <f t="shared" si="506"/>
        <v>2013</v>
      </c>
      <c r="O433" s="531" t="s">
        <v>167</v>
      </c>
      <c r="P433" s="370">
        <v>119216</v>
      </c>
      <c r="Q433" s="370">
        <v>0</v>
      </c>
      <c r="R433" s="370">
        <v>119216</v>
      </c>
      <c r="S433" s="68">
        <f t="shared" si="507"/>
        <v>119216</v>
      </c>
      <c r="T433" s="63"/>
      <c r="U433" s="347"/>
      <c r="V433" s="370"/>
      <c r="W433" s="370"/>
      <c r="X433" s="370"/>
      <c r="Y433" s="68">
        <f t="shared" si="508"/>
        <v>0</v>
      </c>
      <c r="Z433" s="345"/>
      <c r="AA433" s="347"/>
      <c r="AB433" s="345"/>
      <c r="AC433" s="345"/>
      <c r="AD433" s="345"/>
      <c r="AE433" s="68">
        <f t="shared" si="509"/>
        <v>0</v>
      </c>
      <c r="AF433" s="366">
        <v>2020</v>
      </c>
      <c r="AG433" s="358"/>
      <c r="AH433" s="359"/>
      <c r="AI433" s="360"/>
      <c r="AJ433" s="430" t="s">
        <v>1713</v>
      </c>
      <c r="AK433" s="360" t="str">
        <f t="shared" si="510"/>
        <v>V</v>
      </c>
      <c r="AL433" s="18"/>
      <c r="AM433" s="360" t="str">
        <f t="shared" si="511"/>
        <v>2</v>
      </c>
      <c r="AN433" s="360" t="str">
        <f t="shared" si="512"/>
        <v>1</v>
      </c>
      <c r="AO433" s="360"/>
      <c r="AP433" s="346" t="str">
        <f t="shared" si="513"/>
        <v>2</v>
      </c>
      <c r="AQ433" s="360" t="str">
        <f t="shared" si="514"/>
        <v>2.1..2</v>
      </c>
      <c r="AR433" s="530"/>
      <c r="AS433" s="362" t="s">
        <v>167</v>
      </c>
      <c r="AT433" s="367">
        <v>117842</v>
      </c>
      <c r="AU433" s="367">
        <v>119216</v>
      </c>
      <c r="AV433" s="368">
        <f t="shared" si="515"/>
        <v>1.0116596799103885</v>
      </c>
      <c r="AW433" s="367">
        <v>63485</v>
      </c>
      <c r="AX433" s="368">
        <f t="shared" si="516"/>
        <v>0.53872982468050445</v>
      </c>
      <c r="AY433" s="367">
        <v>54357</v>
      </c>
      <c r="AZ433" s="368">
        <f t="shared" si="517"/>
        <v>0.4612701753194956</v>
      </c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</row>
    <row r="434" spans="1:68" ht="20.25" customHeight="1">
      <c r="A434" s="100">
        <v>73</v>
      </c>
      <c r="B434" s="100" t="s">
        <v>60</v>
      </c>
      <c r="C434" s="100" t="s">
        <v>2355</v>
      </c>
      <c r="D434" s="102" t="s">
        <v>792</v>
      </c>
      <c r="E434" s="100" t="str">
        <f t="shared" si="300"/>
        <v>Sama</v>
      </c>
      <c r="F434" s="63">
        <f t="shared" si="504"/>
        <v>402</v>
      </c>
      <c r="G434" s="63">
        <v>4</v>
      </c>
      <c r="H434" s="64" t="s">
        <v>60</v>
      </c>
      <c r="I434" s="64" t="s">
        <v>792</v>
      </c>
      <c r="J434" s="66">
        <v>24843.955447433087</v>
      </c>
      <c r="K434" s="533" t="s">
        <v>104</v>
      </c>
      <c r="L434" s="68">
        <f t="shared" si="518"/>
        <v>68628</v>
      </c>
      <c r="M434" s="63"/>
      <c r="N434" s="365">
        <f t="shared" si="506"/>
        <v>2012</v>
      </c>
      <c r="O434" s="531" t="s">
        <v>1715</v>
      </c>
      <c r="P434" s="68">
        <v>68628</v>
      </c>
      <c r="Q434" s="68">
        <v>0</v>
      </c>
      <c r="R434" s="68">
        <v>68628</v>
      </c>
      <c r="S434" s="68">
        <f t="shared" si="507"/>
        <v>68628</v>
      </c>
      <c r="T434" s="63"/>
      <c r="U434" s="385" t="s">
        <v>1716</v>
      </c>
      <c r="V434" s="370">
        <v>0</v>
      </c>
      <c r="W434" s="370">
        <v>0</v>
      </c>
      <c r="X434" s="370">
        <v>0</v>
      </c>
      <c r="Y434" s="68">
        <f t="shared" si="508"/>
        <v>0</v>
      </c>
      <c r="Z434" s="345"/>
      <c r="AA434" s="385"/>
      <c r="AB434" s="345"/>
      <c r="AC434" s="345"/>
      <c r="AD434" s="345"/>
      <c r="AE434" s="68">
        <f t="shared" si="509"/>
        <v>0</v>
      </c>
      <c r="AF434" s="366">
        <v>2022</v>
      </c>
      <c r="AG434" s="358"/>
      <c r="AH434" s="359"/>
      <c r="AI434" s="360"/>
      <c r="AJ434" s="430" t="s">
        <v>1713</v>
      </c>
      <c r="AK434" s="360" t="str">
        <f t="shared" si="510"/>
        <v/>
      </c>
      <c r="AL434" s="18"/>
      <c r="AM434" s="360" t="str">
        <f t="shared" si="511"/>
        <v>2</v>
      </c>
      <c r="AN434" s="360" t="str">
        <f t="shared" si="512"/>
        <v>1</v>
      </c>
      <c r="AO434" s="360"/>
      <c r="AP434" s="346" t="str">
        <f t="shared" si="513"/>
        <v>2</v>
      </c>
      <c r="AQ434" s="360" t="str">
        <f t="shared" si="514"/>
        <v>2.1..2</v>
      </c>
      <c r="AR434" s="530"/>
      <c r="AS434" s="360"/>
      <c r="AT434" s="362"/>
      <c r="AU434" s="362"/>
      <c r="AV434" s="362"/>
      <c r="AW434" s="362"/>
      <c r="AX434" s="362"/>
      <c r="AY434" s="362"/>
      <c r="AZ434" s="362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</row>
    <row r="435" spans="1:68" ht="20.25" customHeight="1">
      <c r="A435" s="100">
        <v>73</v>
      </c>
      <c r="B435" s="100" t="s">
        <v>60</v>
      </c>
      <c r="C435" s="100" t="s">
        <v>2356</v>
      </c>
      <c r="D435" s="102" t="s">
        <v>794</v>
      </c>
      <c r="E435" s="100" t="str">
        <f t="shared" si="300"/>
        <v>Sama</v>
      </c>
      <c r="F435" s="63">
        <f t="shared" si="504"/>
        <v>403</v>
      </c>
      <c r="G435" s="63">
        <v>5</v>
      </c>
      <c r="H435" s="64" t="s">
        <v>60</v>
      </c>
      <c r="I435" s="64" t="s">
        <v>794</v>
      </c>
      <c r="J435" s="66">
        <v>8453.523348866509</v>
      </c>
      <c r="K435" s="533" t="s">
        <v>104</v>
      </c>
      <c r="L435" s="68">
        <f t="shared" si="518"/>
        <v>4969.71</v>
      </c>
      <c r="M435" s="63"/>
      <c r="N435" s="365">
        <f t="shared" si="506"/>
        <v>2011</v>
      </c>
      <c r="O435" s="531" t="s">
        <v>795</v>
      </c>
      <c r="P435" s="68">
        <v>4969.71</v>
      </c>
      <c r="Q435" s="68">
        <v>0</v>
      </c>
      <c r="R435" s="68">
        <v>4969.71</v>
      </c>
      <c r="S435" s="68">
        <f t="shared" si="507"/>
        <v>4969.71</v>
      </c>
      <c r="T435" s="63"/>
      <c r="U435" s="347"/>
      <c r="V435" s="370"/>
      <c r="W435" s="370"/>
      <c r="X435" s="370"/>
      <c r="Y435" s="68">
        <f t="shared" si="508"/>
        <v>0</v>
      </c>
      <c r="Z435" s="345"/>
      <c r="AA435" s="347"/>
      <c r="AB435" s="345"/>
      <c r="AC435" s="345"/>
      <c r="AD435" s="345"/>
      <c r="AE435" s="68">
        <f t="shared" si="509"/>
        <v>0</v>
      </c>
      <c r="AF435" s="366" t="s">
        <v>1097</v>
      </c>
      <c r="AG435" s="358"/>
      <c r="AH435" s="359"/>
      <c r="AI435" s="360"/>
      <c r="AJ435" s="430" t="s">
        <v>1709</v>
      </c>
      <c r="AK435" s="360" t="str">
        <f t="shared" si="510"/>
        <v/>
      </c>
      <c r="AL435" s="18"/>
      <c r="AM435" s="360" t="str">
        <f t="shared" si="511"/>
        <v>2</v>
      </c>
      <c r="AN435" s="360" t="str">
        <f t="shared" si="512"/>
        <v>1</v>
      </c>
      <c r="AO435" s="360"/>
      <c r="AP435" s="346" t="str">
        <f t="shared" si="513"/>
        <v>2</v>
      </c>
      <c r="AQ435" s="360" t="str">
        <f t="shared" si="514"/>
        <v>2.1..2</v>
      </c>
      <c r="AR435" s="530"/>
      <c r="AS435" s="360"/>
      <c r="AT435" s="362"/>
      <c r="AU435" s="362"/>
      <c r="AV435" s="362"/>
      <c r="AW435" s="362"/>
      <c r="AX435" s="362"/>
      <c r="AY435" s="362"/>
      <c r="AZ435" s="362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</row>
    <row r="436" spans="1:68" ht="20.25" customHeight="1">
      <c r="A436" s="100">
        <v>73</v>
      </c>
      <c r="B436" s="100" t="s">
        <v>60</v>
      </c>
      <c r="C436" s="100" t="s">
        <v>2357</v>
      </c>
      <c r="D436" s="102" t="s">
        <v>796</v>
      </c>
      <c r="E436" s="100" t="str">
        <f t="shared" si="300"/>
        <v>Sama</v>
      </c>
      <c r="F436" s="63">
        <f t="shared" si="504"/>
        <v>404</v>
      </c>
      <c r="G436" s="63">
        <v>6</v>
      </c>
      <c r="H436" s="64" t="s">
        <v>60</v>
      </c>
      <c r="I436" s="64" t="s">
        <v>796</v>
      </c>
      <c r="J436" s="66">
        <v>32903.252814761399</v>
      </c>
      <c r="K436" s="533" t="s">
        <v>91</v>
      </c>
      <c r="L436" s="68">
        <f>AE436</f>
        <v>31936.86</v>
      </c>
      <c r="M436" s="63"/>
      <c r="N436" s="365">
        <f t="shared" si="506"/>
        <v>2012</v>
      </c>
      <c r="O436" s="531" t="s">
        <v>1256</v>
      </c>
      <c r="P436" s="68">
        <v>33201</v>
      </c>
      <c r="Q436" s="68">
        <v>0</v>
      </c>
      <c r="R436" s="68">
        <v>33201</v>
      </c>
      <c r="S436" s="68">
        <f t="shared" si="507"/>
        <v>33201</v>
      </c>
      <c r="T436" s="63"/>
      <c r="U436" s="541" t="s">
        <v>1719</v>
      </c>
      <c r="V436" s="370">
        <v>0</v>
      </c>
      <c r="W436" s="370">
        <v>0</v>
      </c>
      <c r="X436" s="370">
        <v>0</v>
      </c>
      <c r="Y436" s="68">
        <f t="shared" si="508"/>
        <v>0</v>
      </c>
      <c r="Z436" s="345" t="s">
        <v>1076</v>
      </c>
      <c r="AA436" s="541" t="s">
        <v>797</v>
      </c>
      <c r="AB436" s="373">
        <v>30077.5</v>
      </c>
      <c r="AC436" s="373">
        <v>1859.36</v>
      </c>
      <c r="AD436" s="373">
        <f>AB436+AC436</f>
        <v>31936.86</v>
      </c>
      <c r="AE436" s="68">
        <f t="shared" si="509"/>
        <v>31936.86</v>
      </c>
      <c r="AF436" s="364">
        <v>2022</v>
      </c>
      <c r="AG436" s="344"/>
      <c r="AH436" s="84"/>
      <c r="AI436" s="63"/>
      <c r="AJ436" s="429" t="s">
        <v>1709</v>
      </c>
      <c r="AK436" s="63" t="str">
        <f t="shared" si="510"/>
        <v>V</v>
      </c>
      <c r="AL436" s="47"/>
      <c r="AM436" s="63" t="str">
        <f t="shared" si="511"/>
        <v>2</v>
      </c>
      <c r="AN436" s="63" t="str">
        <f t="shared" si="512"/>
        <v>1</v>
      </c>
      <c r="AO436" s="63"/>
      <c r="AP436" s="346" t="str">
        <f t="shared" si="513"/>
        <v>1</v>
      </c>
      <c r="AQ436" s="63" t="str">
        <f t="shared" si="514"/>
        <v>2.1..1</v>
      </c>
      <c r="AR436" s="534"/>
      <c r="AS436" s="64" t="s">
        <v>2358</v>
      </c>
      <c r="AT436" s="95">
        <v>32903.25</v>
      </c>
      <c r="AU436" s="95">
        <v>31936.86</v>
      </c>
      <c r="AV436" s="371">
        <f t="shared" ref="AV436:AV437" si="519">AU436/AT436</f>
        <v>0.97062934512548149</v>
      </c>
      <c r="AW436" s="95">
        <v>28178.67</v>
      </c>
      <c r="AX436" s="371">
        <f t="shared" ref="AX436:AX437" si="520">AW436/AT436</f>
        <v>0.85640992911034619</v>
      </c>
      <c r="AY436" s="95">
        <v>4724.59</v>
      </c>
      <c r="AZ436" s="371">
        <f t="shared" ref="AZ436:AZ437" si="521">AY436/AT436</f>
        <v>0.14359037481099893</v>
      </c>
      <c r="BA436" s="47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</row>
    <row r="437" spans="1:68" ht="20.25" customHeight="1">
      <c r="A437" s="100">
        <v>73</v>
      </c>
      <c r="B437" s="100" t="s">
        <v>60</v>
      </c>
      <c r="C437" s="100" t="s">
        <v>2359</v>
      </c>
      <c r="D437" s="102" t="s">
        <v>798</v>
      </c>
      <c r="E437" s="100" t="str">
        <f t="shared" si="300"/>
        <v>Sama</v>
      </c>
      <c r="F437" s="63">
        <f t="shared" si="504"/>
        <v>405</v>
      </c>
      <c r="G437" s="63">
        <v>7</v>
      </c>
      <c r="H437" s="64" t="s">
        <v>60</v>
      </c>
      <c r="I437" s="64" t="s">
        <v>798</v>
      </c>
      <c r="J437" s="66">
        <v>25995.74387382108</v>
      </c>
      <c r="K437" s="533" t="s">
        <v>91</v>
      </c>
      <c r="L437" s="68">
        <f t="shared" ref="L437:L440" si="522">IF(S437&gt;0,S437,IF(Y437&gt;0,Y437,IF(AE437&gt;0,AE437,0)))</f>
        <v>25098</v>
      </c>
      <c r="M437" s="544" t="s">
        <v>1076</v>
      </c>
      <c r="N437" s="365">
        <f t="shared" si="506"/>
        <v>2022</v>
      </c>
      <c r="O437" s="531" t="s">
        <v>799</v>
      </c>
      <c r="P437" s="68"/>
      <c r="Q437" s="68">
        <v>0</v>
      </c>
      <c r="R437" s="68">
        <v>25098</v>
      </c>
      <c r="S437" s="68">
        <f t="shared" si="507"/>
        <v>25098</v>
      </c>
      <c r="T437" s="63"/>
      <c r="U437" s="541" t="s">
        <v>1721</v>
      </c>
      <c r="V437" s="370">
        <v>0</v>
      </c>
      <c r="W437" s="370">
        <v>0</v>
      </c>
      <c r="X437" s="370">
        <v>0</v>
      </c>
      <c r="Y437" s="68">
        <f t="shared" si="508"/>
        <v>0</v>
      </c>
      <c r="Z437" s="345"/>
      <c r="AA437" s="385"/>
      <c r="AB437" s="345"/>
      <c r="AC437" s="345"/>
      <c r="AD437" s="345"/>
      <c r="AE437" s="68">
        <f t="shared" si="509"/>
        <v>0</v>
      </c>
      <c r="AF437" s="366">
        <v>2020</v>
      </c>
      <c r="AG437" s="358"/>
      <c r="AH437" s="359"/>
      <c r="AI437" s="360"/>
      <c r="AJ437" s="430" t="s">
        <v>1722</v>
      </c>
      <c r="AK437" s="360" t="str">
        <f t="shared" si="510"/>
        <v>V</v>
      </c>
      <c r="AL437" s="18"/>
      <c r="AM437" s="360" t="str">
        <f t="shared" si="511"/>
        <v>1</v>
      </c>
      <c r="AN437" s="360" t="str">
        <f t="shared" si="512"/>
        <v>1</v>
      </c>
      <c r="AO437" s="360"/>
      <c r="AP437" s="346" t="str">
        <f t="shared" si="513"/>
        <v>2</v>
      </c>
      <c r="AQ437" s="360" t="str">
        <f t="shared" si="514"/>
        <v>1.1..2</v>
      </c>
      <c r="AR437" s="530"/>
      <c r="AS437" s="362" t="s">
        <v>655</v>
      </c>
      <c r="AT437" s="367">
        <v>25996</v>
      </c>
      <c r="AU437" s="367">
        <v>25099</v>
      </c>
      <c r="AV437" s="368">
        <f t="shared" si="519"/>
        <v>0.96549469149099865</v>
      </c>
      <c r="AW437" s="367">
        <v>22309</v>
      </c>
      <c r="AX437" s="368">
        <f t="shared" si="520"/>
        <v>0.85817048776734883</v>
      </c>
      <c r="AY437" s="367">
        <v>3687</v>
      </c>
      <c r="AZ437" s="368">
        <f t="shared" si="521"/>
        <v>0.14182951223265117</v>
      </c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</row>
    <row r="438" spans="1:68" ht="20.25" customHeight="1">
      <c r="A438" s="100">
        <v>73</v>
      </c>
      <c r="B438" s="100" t="s">
        <v>60</v>
      </c>
      <c r="C438" s="100" t="s">
        <v>2360</v>
      </c>
      <c r="D438" s="102" t="s">
        <v>800</v>
      </c>
      <c r="E438" s="100" t="str">
        <f t="shared" si="300"/>
        <v>Sama</v>
      </c>
      <c r="F438" s="63">
        <f t="shared" si="504"/>
        <v>406</v>
      </c>
      <c r="G438" s="63">
        <v>8</v>
      </c>
      <c r="H438" s="64" t="s">
        <v>60</v>
      </c>
      <c r="I438" s="64" t="s">
        <v>800</v>
      </c>
      <c r="J438" s="66">
        <v>1808.8280023108123</v>
      </c>
      <c r="K438" s="533" t="s">
        <v>104</v>
      </c>
      <c r="L438" s="68">
        <f t="shared" si="522"/>
        <v>3583</v>
      </c>
      <c r="M438" s="63"/>
      <c r="N438" s="365">
        <f t="shared" si="506"/>
        <v>2012</v>
      </c>
      <c r="O438" s="531" t="s">
        <v>801</v>
      </c>
      <c r="P438" s="68">
        <v>3583</v>
      </c>
      <c r="Q438" s="68">
        <v>0</v>
      </c>
      <c r="R438" s="68">
        <v>3583</v>
      </c>
      <c r="S438" s="68">
        <f t="shared" si="507"/>
        <v>3583</v>
      </c>
      <c r="T438" s="63"/>
      <c r="U438" s="347"/>
      <c r="V438" s="370"/>
      <c r="W438" s="370"/>
      <c r="X438" s="370"/>
      <c r="Y438" s="68">
        <f t="shared" si="508"/>
        <v>0</v>
      </c>
      <c r="Z438" s="345"/>
      <c r="AA438" s="347"/>
      <c r="AB438" s="345"/>
      <c r="AC438" s="345"/>
      <c r="AD438" s="345"/>
      <c r="AE438" s="68">
        <f t="shared" si="509"/>
        <v>0</v>
      </c>
      <c r="AF438" s="366" t="s">
        <v>1097</v>
      </c>
      <c r="AG438" s="358"/>
      <c r="AH438" s="359"/>
      <c r="AI438" s="360"/>
      <c r="AJ438" s="430" t="s">
        <v>1709</v>
      </c>
      <c r="AK438" s="360" t="str">
        <f t="shared" si="510"/>
        <v/>
      </c>
      <c r="AL438" s="18"/>
      <c r="AM438" s="360" t="str">
        <f t="shared" si="511"/>
        <v>2</v>
      </c>
      <c r="AN438" s="360" t="str">
        <f t="shared" si="512"/>
        <v>1</v>
      </c>
      <c r="AO438" s="360"/>
      <c r="AP438" s="346" t="str">
        <f t="shared" si="513"/>
        <v>2</v>
      </c>
      <c r="AQ438" s="360" t="str">
        <f t="shared" si="514"/>
        <v>2.1..2</v>
      </c>
      <c r="AR438" s="530"/>
      <c r="AS438" s="360"/>
      <c r="AT438" s="362"/>
      <c r="AU438" s="362"/>
      <c r="AV438" s="362"/>
      <c r="AW438" s="362"/>
      <c r="AX438" s="362"/>
      <c r="AY438" s="362"/>
      <c r="AZ438" s="362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</row>
    <row r="439" spans="1:68" ht="20.25" customHeight="1">
      <c r="A439" s="100">
        <v>73</v>
      </c>
      <c r="B439" s="100" t="s">
        <v>60</v>
      </c>
      <c r="C439" s="100" t="s">
        <v>2361</v>
      </c>
      <c r="D439" s="102" t="s">
        <v>802</v>
      </c>
      <c r="E439" s="100" t="str">
        <f t="shared" si="300"/>
        <v>Sama</v>
      </c>
      <c r="F439" s="63">
        <f t="shared" si="504"/>
        <v>407</v>
      </c>
      <c r="G439" s="63">
        <v>9</v>
      </c>
      <c r="H439" s="64" t="s">
        <v>60</v>
      </c>
      <c r="I439" s="64" t="s">
        <v>802</v>
      </c>
      <c r="J439" s="66">
        <v>2035.3319146628191</v>
      </c>
      <c r="K439" s="533" t="s">
        <v>661</v>
      </c>
      <c r="L439" s="68">
        <f t="shared" si="522"/>
        <v>0</v>
      </c>
      <c r="M439" s="63"/>
      <c r="N439" s="392" t="e">
        <f t="shared" si="506"/>
        <v>#VALUE!</v>
      </c>
      <c r="O439" s="382"/>
      <c r="P439" s="68"/>
      <c r="Q439" s="68"/>
      <c r="R439" s="68"/>
      <c r="S439" s="68">
        <f t="shared" si="507"/>
        <v>0</v>
      </c>
      <c r="T439" s="63"/>
      <c r="U439" s="347"/>
      <c r="V439" s="370"/>
      <c r="W439" s="370"/>
      <c r="X439" s="370"/>
      <c r="Y439" s="68">
        <f t="shared" si="508"/>
        <v>0</v>
      </c>
      <c r="Z439" s="345"/>
      <c r="AA439" s="347"/>
      <c r="AB439" s="345"/>
      <c r="AC439" s="345"/>
      <c r="AD439" s="345"/>
      <c r="AE439" s="68">
        <f t="shared" si="509"/>
        <v>0</v>
      </c>
      <c r="AF439" s="366" t="s">
        <v>1669</v>
      </c>
      <c r="AG439" s="358"/>
      <c r="AH439" s="359"/>
      <c r="AI439" s="360"/>
      <c r="AJ439" s="430" t="s">
        <v>1725</v>
      </c>
      <c r="AK439" s="360" t="str">
        <f t="shared" si="510"/>
        <v/>
      </c>
      <c r="AL439" s="18"/>
      <c r="AM439" s="360" t="e">
        <f t="shared" si="511"/>
        <v>#VALUE!</v>
      </c>
      <c r="AN439" s="360" t="str">
        <f t="shared" si="512"/>
        <v>2</v>
      </c>
      <c r="AO439" s="360"/>
      <c r="AP439" s="346" t="str">
        <f t="shared" si="513"/>
        <v>2</v>
      </c>
      <c r="AQ439" s="360" t="e">
        <f t="shared" si="514"/>
        <v>#VALUE!</v>
      </c>
      <c r="AR439" s="530"/>
      <c r="AS439" s="360"/>
      <c r="AT439" s="362"/>
      <c r="AU439" s="362"/>
      <c r="AV439" s="362"/>
      <c r="AW439" s="362"/>
      <c r="AX439" s="362"/>
      <c r="AY439" s="362"/>
      <c r="AZ439" s="362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</row>
    <row r="440" spans="1:68" ht="20.25" customHeight="1">
      <c r="A440" s="100">
        <v>73</v>
      </c>
      <c r="B440" s="100" t="s">
        <v>60</v>
      </c>
      <c r="C440" s="100" t="s">
        <v>2362</v>
      </c>
      <c r="D440" s="102" t="s">
        <v>804</v>
      </c>
      <c r="E440" s="100" t="str">
        <f t="shared" si="300"/>
        <v>Sama</v>
      </c>
      <c r="F440" s="63">
        <f t="shared" si="504"/>
        <v>408</v>
      </c>
      <c r="G440" s="63">
        <v>10</v>
      </c>
      <c r="H440" s="64" t="s">
        <v>60</v>
      </c>
      <c r="I440" s="64" t="s">
        <v>804</v>
      </c>
      <c r="J440" s="66">
        <v>1569.7954295671573</v>
      </c>
      <c r="K440" s="533" t="s">
        <v>91</v>
      </c>
      <c r="L440" s="68">
        <f t="shared" si="522"/>
        <v>919</v>
      </c>
      <c r="M440" s="552" t="s">
        <v>1076</v>
      </c>
      <c r="N440" s="431">
        <f t="shared" si="506"/>
        <v>2022</v>
      </c>
      <c r="O440" s="553" t="s">
        <v>159</v>
      </c>
      <c r="P440" s="432"/>
      <c r="Q440" s="432"/>
      <c r="R440" s="432">
        <v>919</v>
      </c>
      <c r="S440" s="68">
        <f t="shared" si="507"/>
        <v>919</v>
      </c>
      <c r="T440" s="544" t="s">
        <v>1076</v>
      </c>
      <c r="U440" s="347" t="s">
        <v>805</v>
      </c>
      <c r="V440" s="370">
        <v>1092.9100000000001</v>
      </c>
      <c r="W440" s="370">
        <v>214.3</v>
      </c>
      <c r="X440" s="370">
        <v>1346.7200000000003</v>
      </c>
      <c r="Y440" s="68">
        <f t="shared" si="508"/>
        <v>1346.7200000000003</v>
      </c>
      <c r="Z440" s="345"/>
      <c r="AA440" s="347"/>
      <c r="AB440" s="345"/>
      <c r="AC440" s="345"/>
      <c r="AD440" s="345"/>
      <c r="AE440" s="68">
        <f t="shared" si="509"/>
        <v>0</v>
      </c>
      <c r="AF440" s="366">
        <v>2020</v>
      </c>
      <c r="AG440" s="358"/>
      <c r="AH440" s="359"/>
      <c r="AI440" s="360"/>
      <c r="AJ440" s="430" t="s">
        <v>1722</v>
      </c>
      <c r="AK440" s="360" t="str">
        <f t="shared" si="510"/>
        <v>VV</v>
      </c>
      <c r="AL440" s="18"/>
      <c r="AM440" s="360" t="str">
        <f t="shared" si="511"/>
        <v>1</v>
      </c>
      <c r="AN440" s="360" t="str">
        <f t="shared" si="512"/>
        <v>1</v>
      </c>
      <c r="AO440" s="360"/>
      <c r="AP440" s="346" t="str">
        <f t="shared" si="513"/>
        <v>1</v>
      </c>
      <c r="AQ440" s="360" t="str">
        <f t="shared" si="514"/>
        <v>1.1..1</v>
      </c>
      <c r="AR440" s="530"/>
      <c r="AS440" s="362" t="s">
        <v>304</v>
      </c>
      <c r="AT440" s="367">
        <v>1570</v>
      </c>
      <c r="AU440" s="367">
        <v>1136</v>
      </c>
      <c r="AV440" s="368">
        <f t="shared" ref="AV440:AV441" si="523">AU440/AT440</f>
        <v>0.72356687898089167</v>
      </c>
      <c r="AW440" s="362">
        <v>726</v>
      </c>
      <c r="AX440" s="368">
        <f t="shared" ref="AX440:AX441" si="524">AW440/AT440</f>
        <v>0.4624203821656051</v>
      </c>
      <c r="AY440" s="362">
        <v>843</v>
      </c>
      <c r="AZ440" s="368">
        <f t="shared" ref="AZ440:AZ441" si="525">AY440/AT440</f>
        <v>0.53694267515923566</v>
      </c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</row>
    <row r="441" spans="1:68" ht="20.25" customHeight="1">
      <c r="A441" s="100">
        <v>73</v>
      </c>
      <c r="B441" s="100" t="s">
        <v>60</v>
      </c>
      <c r="C441" s="100" t="s">
        <v>2363</v>
      </c>
      <c r="D441" s="102" t="s">
        <v>806</v>
      </c>
      <c r="E441" s="100" t="str">
        <f t="shared" si="300"/>
        <v>Beda</v>
      </c>
      <c r="F441" s="63">
        <f t="shared" si="504"/>
        <v>409</v>
      </c>
      <c r="G441" s="63">
        <v>11</v>
      </c>
      <c r="H441" s="64" t="s">
        <v>60</v>
      </c>
      <c r="I441" s="64" t="s">
        <v>2364</v>
      </c>
      <c r="J441" s="66">
        <v>865.38144529535646</v>
      </c>
      <c r="K441" s="533" t="s">
        <v>91</v>
      </c>
      <c r="L441" s="68">
        <f>Y441</f>
        <v>305.07</v>
      </c>
      <c r="M441" s="63"/>
      <c r="N441" s="392">
        <f t="shared" si="506"/>
        <v>2021</v>
      </c>
      <c r="O441" s="382" t="s">
        <v>149</v>
      </c>
      <c r="P441" s="68">
        <v>0</v>
      </c>
      <c r="Q441" s="68">
        <v>0</v>
      </c>
      <c r="R441" s="68">
        <v>306</v>
      </c>
      <c r="S441" s="68">
        <f t="shared" si="507"/>
        <v>306</v>
      </c>
      <c r="T441" s="63" t="s">
        <v>1076</v>
      </c>
      <c r="U441" s="385" t="s">
        <v>1485</v>
      </c>
      <c r="V441" s="370">
        <v>305.07</v>
      </c>
      <c r="W441" s="370">
        <v>0</v>
      </c>
      <c r="X441" s="370">
        <v>0</v>
      </c>
      <c r="Y441" s="68">
        <f t="shared" si="508"/>
        <v>305.07</v>
      </c>
      <c r="Z441" s="345"/>
      <c r="AA441" s="385"/>
      <c r="AB441" s="345"/>
      <c r="AC441" s="345"/>
      <c r="AD441" s="345"/>
      <c r="AE441" s="68">
        <f t="shared" si="509"/>
        <v>0</v>
      </c>
      <c r="AF441" s="364" t="s">
        <v>1097</v>
      </c>
      <c r="AG441" s="344"/>
      <c r="AH441" s="84"/>
      <c r="AI441" s="63"/>
      <c r="AJ441" s="429" t="s">
        <v>1722</v>
      </c>
      <c r="AK441" s="63" t="str">
        <f t="shared" si="510"/>
        <v>V</v>
      </c>
      <c r="AL441" s="47"/>
      <c r="AM441" s="63" t="str">
        <f t="shared" si="511"/>
        <v>1</v>
      </c>
      <c r="AN441" s="63" t="str">
        <f t="shared" si="512"/>
        <v>1</v>
      </c>
      <c r="AO441" s="63"/>
      <c r="AP441" s="346" t="str">
        <f t="shared" si="513"/>
        <v>1</v>
      </c>
      <c r="AQ441" s="63" t="str">
        <f t="shared" si="514"/>
        <v>1.1..1</v>
      </c>
      <c r="AR441" s="534"/>
      <c r="AS441" s="347"/>
      <c r="AT441" s="95"/>
      <c r="AU441" s="95"/>
      <c r="AV441" s="371" t="e">
        <f t="shared" si="523"/>
        <v>#DIV/0!</v>
      </c>
      <c r="AW441" s="95"/>
      <c r="AX441" s="371" t="e">
        <f t="shared" si="524"/>
        <v>#DIV/0!</v>
      </c>
      <c r="AY441" s="95"/>
      <c r="AZ441" s="371" t="e">
        <f t="shared" si="525"/>
        <v>#DIV/0!</v>
      </c>
      <c r="BA441" s="47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</row>
    <row r="442" spans="1:68" ht="20.25" customHeight="1">
      <c r="A442" s="100">
        <v>73</v>
      </c>
      <c r="B442" s="100" t="s">
        <v>60</v>
      </c>
      <c r="C442" s="100" t="s">
        <v>2365</v>
      </c>
      <c r="D442" s="102" t="s">
        <v>807</v>
      </c>
      <c r="E442" s="100" t="str">
        <f t="shared" si="300"/>
        <v>Sama</v>
      </c>
      <c r="F442" s="63">
        <f t="shared" si="504"/>
        <v>410</v>
      </c>
      <c r="G442" s="63">
        <v>12</v>
      </c>
      <c r="H442" s="64" t="s">
        <v>60</v>
      </c>
      <c r="I442" s="64" t="s">
        <v>807</v>
      </c>
      <c r="J442" s="66">
        <v>30655.024348713094</v>
      </c>
      <c r="K442" s="533" t="s">
        <v>104</v>
      </c>
      <c r="L442" s="68">
        <f t="shared" ref="L442:L446" si="526">IF(S442&gt;0,S442,IF(Y442&gt;0,Y442,IF(AE442&gt;0,AE442,0)))</f>
        <v>25516</v>
      </c>
      <c r="M442" s="63"/>
      <c r="N442" s="392">
        <f t="shared" si="506"/>
        <v>2011</v>
      </c>
      <c r="O442" s="382" t="s">
        <v>1431</v>
      </c>
      <c r="P442" s="68">
        <v>25516</v>
      </c>
      <c r="Q442" s="68">
        <v>0</v>
      </c>
      <c r="R442" s="68">
        <v>25516</v>
      </c>
      <c r="S442" s="68">
        <f t="shared" si="507"/>
        <v>25516</v>
      </c>
      <c r="T442" s="63"/>
      <c r="U442" s="385" t="s">
        <v>1729</v>
      </c>
      <c r="V442" s="370">
        <v>0</v>
      </c>
      <c r="W442" s="370">
        <v>0</v>
      </c>
      <c r="X442" s="370">
        <v>0</v>
      </c>
      <c r="Y442" s="68">
        <f t="shared" si="508"/>
        <v>0</v>
      </c>
      <c r="Z442" s="345"/>
      <c r="AA442" s="385"/>
      <c r="AB442" s="345"/>
      <c r="AC442" s="345"/>
      <c r="AD442" s="345"/>
      <c r="AE442" s="68">
        <f t="shared" si="509"/>
        <v>0</v>
      </c>
      <c r="AF442" s="366">
        <v>2023</v>
      </c>
      <c r="AG442" s="358" t="s">
        <v>1160</v>
      </c>
      <c r="AH442" s="359"/>
      <c r="AI442" s="360"/>
      <c r="AJ442" s="430" t="s">
        <v>1709</v>
      </c>
      <c r="AK442" s="360" t="str">
        <f t="shared" si="510"/>
        <v/>
      </c>
      <c r="AL442" s="18"/>
      <c r="AM442" s="360" t="str">
        <f t="shared" si="511"/>
        <v>2</v>
      </c>
      <c r="AN442" s="360" t="str">
        <f t="shared" si="512"/>
        <v>1</v>
      </c>
      <c r="AO442" s="360"/>
      <c r="AP442" s="346" t="str">
        <f t="shared" si="513"/>
        <v>2</v>
      </c>
      <c r="AQ442" s="360" t="str">
        <f t="shared" si="514"/>
        <v>2.1..2</v>
      </c>
      <c r="AR442" s="530"/>
      <c r="AS442" s="360"/>
      <c r="AT442" s="362"/>
      <c r="AU442" s="362"/>
      <c r="AV442" s="362"/>
      <c r="AW442" s="362"/>
      <c r="AX442" s="362"/>
      <c r="AY442" s="362"/>
      <c r="AZ442" s="362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</row>
    <row r="443" spans="1:68" ht="20.25" customHeight="1">
      <c r="A443" s="100">
        <v>73</v>
      </c>
      <c r="B443" s="100" t="s">
        <v>60</v>
      </c>
      <c r="C443" s="100" t="s">
        <v>2366</v>
      </c>
      <c r="D443" s="102" t="s">
        <v>809</v>
      </c>
      <c r="E443" s="100" t="str">
        <f t="shared" si="300"/>
        <v>Sama</v>
      </c>
      <c r="F443" s="63">
        <f t="shared" si="504"/>
        <v>411</v>
      </c>
      <c r="G443" s="63">
        <v>14</v>
      </c>
      <c r="H443" s="64" t="s">
        <v>60</v>
      </c>
      <c r="I443" s="64" t="s">
        <v>809</v>
      </c>
      <c r="J443" s="66">
        <v>27873.692403114899</v>
      </c>
      <c r="K443" s="533" t="s">
        <v>91</v>
      </c>
      <c r="L443" s="68">
        <f t="shared" si="526"/>
        <v>21991.11</v>
      </c>
      <c r="M443" s="63"/>
      <c r="N443" s="392" t="e">
        <f t="shared" si="506"/>
        <v>#VALUE!</v>
      </c>
      <c r="O443" s="382"/>
      <c r="P443" s="68"/>
      <c r="Q443" s="68"/>
      <c r="R443" s="68"/>
      <c r="S443" s="68">
        <f t="shared" si="507"/>
        <v>0</v>
      </c>
      <c r="T443" s="63"/>
      <c r="U443" s="385"/>
      <c r="V443" s="370"/>
      <c r="W443" s="370"/>
      <c r="X443" s="370"/>
      <c r="Y443" s="68">
        <f t="shared" si="508"/>
        <v>0</v>
      </c>
      <c r="Z443" s="345" t="s">
        <v>1076</v>
      </c>
      <c r="AA443" s="549" t="s">
        <v>1733</v>
      </c>
      <c r="AB443" s="345">
        <v>21655.56</v>
      </c>
      <c r="AC443" s="345">
        <v>335.56</v>
      </c>
      <c r="AD443" s="345">
        <v>21991.11</v>
      </c>
      <c r="AE443" s="68">
        <f t="shared" si="509"/>
        <v>21991.11</v>
      </c>
      <c r="AF443" s="364">
        <v>2022</v>
      </c>
      <c r="AG443" s="344"/>
      <c r="AH443" s="84"/>
      <c r="AI443" s="63"/>
      <c r="AJ443" s="429" t="s">
        <v>1734</v>
      </c>
      <c r="AK443" s="63" t="str">
        <f t="shared" si="510"/>
        <v>V</v>
      </c>
      <c r="AL443" s="47"/>
      <c r="AM443" s="63" t="e">
        <f t="shared" si="511"/>
        <v>#VALUE!</v>
      </c>
      <c r="AN443" s="63" t="str">
        <f t="shared" si="512"/>
        <v>2</v>
      </c>
      <c r="AO443" s="63"/>
      <c r="AP443" s="346" t="str">
        <f t="shared" si="513"/>
        <v>1</v>
      </c>
      <c r="AQ443" s="63" t="e">
        <f t="shared" si="514"/>
        <v>#VALUE!</v>
      </c>
      <c r="AR443" s="534"/>
      <c r="AS443" s="64" t="s">
        <v>2367</v>
      </c>
      <c r="AT443" s="95">
        <v>23394.35</v>
      </c>
      <c r="AU443" s="95">
        <v>21991.119999999999</v>
      </c>
      <c r="AV443" s="371">
        <f>AU443/AT443</f>
        <v>0.9400184232517681</v>
      </c>
      <c r="AW443" s="95">
        <v>20274.86</v>
      </c>
      <c r="AX443" s="371">
        <f>AW443/AT443</f>
        <v>0.86665626529482553</v>
      </c>
      <c r="AY443" s="95">
        <v>3119.49</v>
      </c>
      <c r="AZ443" s="371">
        <f>AY443/AT443</f>
        <v>0.13334373470517455</v>
      </c>
      <c r="BA443" s="47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</row>
    <row r="444" spans="1:68" ht="20.25" customHeight="1">
      <c r="A444" s="100">
        <v>73</v>
      </c>
      <c r="B444" s="100" t="s">
        <v>60</v>
      </c>
      <c r="C444" s="100" t="s">
        <v>2368</v>
      </c>
      <c r="D444" s="102" t="s">
        <v>811</v>
      </c>
      <c r="E444" s="100" t="str">
        <f t="shared" si="300"/>
        <v>Sama</v>
      </c>
      <c r="F444" s="63">
        <f t="shared" si="504"/>
        <v>412</v>
      </c>
      <c r="G444" s="63">
        <v>13</v>
      </c>
      <c r="H444" s="64" t="s">
        <v>60</v>
      </c>
      <c r="I444" s="64" t="s">
        <v>811</v>
      </c>
      <c r="J444" s="66">
        <v>23394.354736221401</v>
      </c>
      <c r="K444" s="533" t="s">
        <v>104</v>
      </c>
      <c r="L444" s="68">
        <f t="shared" si="526"/>
        <v>20314</v>
      </c>
      <c r="M444" s="63"/>
      <c r="N444" s="392">
        <f t="shared" si="506"/>
        <v>2011</v>
      </c>
      <c r="O444" s="382" t="s">
        <v>932</v>
      </c>
      <c r="P444" s="68">
        <v>20314</v>
      </c>
      <c r="Q444" s="68">
        <v>0</v>
      </c>
      <c r="R444" s="68">
        <v>20314</v>
      </c>
      <c r="S444" s="68">
        <f t="shared" si="507"/>
        <v>20314</v>
      </c>
      <c r="T444" s="63"/>
      <c r="U444" s="385" t="s">
        <v>1731</v>
      </c>
      <c r="V444" s="370">
        <v>20314</v>
      </c>
      <c r="W444" s="370">
        <v>0</v>
      </c>
      <c r="X444" s="370">
        <v>20314</v>
      </c>
      <c r="Y444" s="68">
        <f t="shared" si="508"/>
        <v>20314</v>
      </c>
      <c r="Z444" s="345"/>
      <c r="AA444" s="385"/>
      <c r="AB444" s="345"/>
      <c r="AC444" s="345"/>
      <c r="AD444" s="345"/>
      <c r="AE444" s="68">
        <f t="shared" si="509"/>
        <v>0</v>
      </c>
      <c r="AF444" s="366" t="s">
        <v>1347</v>
      </c>
      <c r="AG444" s="358"/>
      <c r="AH444" s="359"/>
      <c r="AI444" s="360"/>
      <c r="AJ444" s="430" t="s">
        <v>1713</v>
      </c>
      <c r="AK444" s="360" t="str">
        <f t="shared" si="510"/>
        <v/>
      </c>
      <c r="AL444" s="18"/>
      <c r="AM444" s="360" t="str">
        <f t="shared" si="511"/>
        <v>2</v>
      </c>
      <c r="AN444" s="360" t="str">
        <f t="shared" si="512"/>
        <v>1</v>
      </c>
      <c r="AO444" s="360"/>
      <c r="AP444" s="346" t="str">
        <f t="shared" si="513"/>
        <v>1</v>
      </c>
      <c r="AQ444" s="360" t="str">
        <f t="shared" si="514"/>
        <v>2.1..1</v>
      </c>
      <c r="AR444" s="530"/>
      <c r="AS444" s="360"/>
      <c r="AT444" s="362"/>
      <c r="AU444" s="362"/>
      <c r="AV444" s="362"/>
      <c r="AW444" s="362"/>
      <c r="AX444" s="362"/>
      <c r="AY444" s="362"/>
      <c r="AZ444" s="362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</row>
    <row r="445" spans="1:68" ht="20.25" customHeight="1">
      <c r="A445" s="100">
        <v>73</v>
      </c>
      <c r="B445" s="100" t="s">
        <v>60</v>
      </c>
      <c r="C445" s="100" t="s">
        <v>2369</v>
      </c>
      <c r="D445" s="102" t="s">
        <v>812</v>
      </c>
      <c r="E445" s="100" t="str">
        <f t="shared" si="300"/>
        <v>Sama</v>
      </c>
      <c r="F445" s="63">
        <f t="shared" si="504"/>
        <v>413</v>
      </c>
      <c r="G445" s="63">
        <v>15</v>
      </c>
      <c r="H445" s="64" t="s">
        <v>60</v>
      </c>
      <c r="I445" s="64" t="s">
        <v>812</v>
      </c>
      <c r="J445" s="66">
        <v>26204.579415244989</v>
      </c>
      <c r="K445" s="533" t="s">
        <v>104</v>
      </c>
      <c r="L445" s="68">
        <f t="shared" si="526"/>
        <v>20222</v>
      </c>
      <c r="M445" s="63"/>
      <c r="N445" s="392">
        <f t="shared" si="506"/>
        <v>2012</v>
      </c>
      <c r="O445" s="382" t="s">
        <v>432</v>
      </c>
      <c r="P445" s="68">
        <v>20222</v>
      </c>
      <c r="Q445" s="68">
        <v>0</v>
      </c>
      <c r="R445" s="68">
        <v>20222</v>
      </c>
      <c r="S445" s="68">
        <f t="shared" si="507"/>
        <v>20222</v>
      </c>
      <c r="T445" s="63"/>
      <c r="U445" s="385" t="s">
        <v>1532</v>
      </c>
      <c r="V445" s="370">
        <v>0</v>
      </c>
      <c r="W445" s="370">
        <v>0</v>
      </c>
      <c r="X445" s="370">
        <v>0</v>
      </c>
      <c r="Y445" s="68">
        <f t="shared" si="508"/>
        <v>0</v>
      </c>
      <c r="Z445" s="345"/>
      <c r="AA445" s="385"/>
      <c r="AB445" s="345"/>
      <c r="AC445" s="345"/>
      <c r="AD445" s="345"/>
      <c r="AE445" s="68">
        <f t="shared" si="509"/>
        <v>0</v>
      </c>
      <c r="AF445" s="366">
        <v>2023</v>
      </c>
      <c r="AG445" s="358" t="s">
        <v>1160</v>
      </c>
      <c r="AH445" s="359"/>
      <c r="AI445" s="360"/>
      <c r="AJ445" s="430" t="s">
        <v>1709</v>
      </c>
      <c r="AK445" s="360" t="str">
        <f t="shared" si="510"/>
        <v/>
      </c>
      <c r="AL445" s="18"/>
      <c r="AM445" s="360" t="str">
        <f t="shared" si="511"/>
        <v>2</v>
      </c>
      <c r="AN445" s="360" t="str">
        <f t="shared" si="512"/>
        <v>1</v>
      </c>
      <c r="AO445" s="360"/>
      <c r="AP445" s="346" t="str">
        <f t="shared" si="513"/>
        <v>2</v>
      </c>
      <c r="AQ445" s="360" t="str">
        <f t="shared" si="514"/>
        <v>2.1..2</v>
      </c>
      <c r="AR445" s="530"/>
      <c r="AS445" s="360"/>
      <c r="AT445" s="362"/>
      <c r="AU445" s="362"/>
      <c r="AV445" s="362"/>
      <c r="AW445" s="362"/>
      <c r="AX445" s="362"/>
      <c r="AY445" s="362"/>
      <c r="AZ445" s="362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</row>
    <row r="446" spans="1:68" ht="20.25" customHeight="1">
      <c r="A446" s="100">
        <v>73</v>
      </c>
      <c r="B446" s="100" t="s">
        <v>60</v>
      </c>
      <c r="C446" s="100" t="s">
        <v>2370</v>
      </c>
      <c r="D446" s="102" t="s">
        <v>2371</v>
      </c>
      <c r="E446" s="100" t="str">
        <f t="shared" si="300"/>
        <v>Sama</v>
      </c>
      <c r="F446" s="63">
        <f t="shared" si="504"/>
        <v>414</v>
      </c>
      <c r="G446" s="63">
        <v>16</v>
      </c>
      <c r="H446" s="64" t="s">
        <v>60</v>
      </c>
      <c r="I446" s="64" t="s">
        <v>2371</v>
      </c>
      <c r="J446" s="66">
        <v>16819.369016365061</v>
      </c>
      <c r="K446" s="533" t="s">
        <v>91</v>
      </c>
      <c r="L446" s="68">
        <f t="shared" si="526"/>
        <v>14934</v>
      </c>
      <c r="M446" s="63"/>
      <c r="N446" s="392">
        <f t="shared" si="506"/>
        <v>2012</v>
      </c>
      <c r="O446" s="382" t="s">
        <v>223</v>
      </c>
      <c r="P446" s="68">
        <v>14934</v>
      </c>
      <c r="Q446" s="68">
        <v>0</v>
      </c>
      <c r="R446" s="68">
        <v>14934</v>
      </c>
      <c r="S446" s="68">
        <f t="shared" si="507"/>
        <v>14934</v>
      </c>
      <c r="T446" s="63"/>
      <c r="U446" s="385" t="s">
        <v>1737</v>
      </c>
      <c r="V446" s="370">
        <v>0</v>
      </c>
      <c r="W446" s="370">
        <v>0</v>
      </c>
      <c r="X446" s="370">
        <v>0</v>
      </c>
      <c r="Y446" s="68">
        <f t="shared" si="508"/>
        <v>0</v>
      </c>
      <c r="Z446" s="345" t="s">
        <v>1076</v>
      </c>
      <c r="AA446" s="385"/>
      <c r="AB446" s="345">
        <v>17048.77</v>
      </c>
      <c r="AC446" s="345"/>
      <c r="AD446" s="345"/>
      <c r="AE446" s="68">
        <f t="shared" si="509"/>
        <v>17048.77</v>
      </c>
      <c r="AF446" s="364">
        <v>2022</v>
      </c>
      <c r="AG446" s="344"/>
      <c r="AH446" s="84"/>
      <c r="AI446" s="63"/>
      <c r="AJ446" s="429" t="s">
        <v>1709</v>
      </c>
      <c r="AK446" s="63" t="str">
        <f t="shared" si="510"/>
        <v>V</v>
      </c>
      <c r="AL446" s="47"/>
      <c r="AM446" s="63" t="str">
        <f t="shared" si="511"/>
        <v>2</v>
      </c>
      <c r="AN446" s="63" t="str">
        <f t="shared" si="512"/>
        <v>1</v>
      </c>
      <c r="AO446" s="63"/>
      <c r="AP446" s="346" t="str">
        <f t="shared" si="513"/>
        <v>1</v>
      </c>
      <c r="AQ446" s="63" t="str">
        <f t="shared" si="514"/>
        <v>2.1..1</v>
      </c>
      <c r="AR446" s="534"/>
      <c r="AS446" s="347"/>
      <c r="AT446" s="95"/>
      <c r="AU446" s="95"/>
      <c r="AV446" s="371" t="e">
        <f t="shared" ref="AV446:AV449" si="527">AU446/AT446</f>
        <v>#DIV/0!</v>
      </c>
      <c r="AW446" s="378"/>
      <c r="AX446" s="377" t="e">
        <f t="shared" ref="AX446:AX449" si="528">AW446/AT446</f>
        <v>#DIV/0!</v>
      </c>
      <c r="AY446" s="378"/>
      <c r="AZ446" s="377" t="e">
        <f t="shared" ref="AZ446:AZ449" si="529">AY446/AT446</f>
        <v>#DIV/0!</v>
      </c>
      <c r="BA446" s="47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</row>
    <row r="447" spans="1:68" ht="20.25" customHeight="1">
      <c r="A447" s="100">
        <v>73</v>
      </c>
      <c r="B447" s="100" t="s">
        <v>60</v>
      </c>
      <c r="C447" s="100" t="s">
        <v>2372</v>
      </c>
      <c r="D447" s="102" t="s">
        <v>815</v>
      </c>
      <c r="E447" s="100" t="str">
        <f t="shared" si="300"/>
        <v>Sama</v>
      </c>
      <c r="F447" s="63">
        <f t="shared" si="504"/>
        <v>415</v>
      </c>
      <c r="G447" s="63">
        <v>17</v>
      </c>
      <c r="H447" s="64" t="s">
        <v>60</v>
      </c>
      <c r="I447" s="64" t="s">
        <v>815</v>
      </c>
      <c r="J447" s="66">
        <v>48810.775403389365</v>
      </c>
      <c r="K447" s="533" t="s">
        <v>91</v>
      </c>
      <c r="L447" s="68">
        <f t="shared" ref="L447:L448" si="530">AE447</f>
        <v>40461</v>
      </c>
      <c r="M447" s="63"/>
      <c r="N447" s="392">
        <f t="shared" si="506"/>
        <v>2012</v>
      </c>
      <c r="O447" s="382" t="s">
        <v>527</v>
      </c>
      <c r="P447" s="68">
        <v>44861</v>
      </c>
      <c r="Q447" s="68">
        <v>0</v>
      </c>
      <c r="R447" s="68">
        <v>44861</v>
      </c>
      <c r="S447" s="68">
        <f t="shared" si="507"/>
        <v>44861</v>
      </c>
      <c r="T447" s="63"/>
      <c r="U447" s="347"/>
      <c r="V447" s="370"/>
      <c r="W447" s="370"/>
      <c r="X447" s="370"/>
      <c r="Y447" s="68">
        <f t="shared" si="508"/>
        <v>0</v>
      </c>
      <c r="Z447" s="345" t="s">
        <v>1076</v>
      </c>
      <c r="AA447" s="536" t="s">
        <v>816</v>
      </c>
      <c r="AB447" s="373">
        <v>40461</v>
      </c>
      <c r="AC447" s="374">
        <v>5446.92</v>
      </c>
      <c r="AD447" s="345"/>
      <c r="AE447" s="68">
        <f t="shared" si="509"/>
        <v>40461</v>
      </c>
      <c r="AF447" s="364">
        <v>2022</v>
      </c>
      <c r="AG447" s="344"/>
      <c r="AH447" s="84"/>
      <c r="AI447" s="63"/>
      <c r="AJ447" s="429" t="s">
        <v>1713</v>
      </c>
      <c r="AK447" s="63" t="str">
        <f t="shared" si="510"/>
        <v>V</v>
      </c>
      <c r="AL447" s="47"/>
      <c r="AM447" s="63" t="str">
        <f t="shared" si="511"/>
        <v>2</v>
      </c>
      <c r="AN447" s="63" t="str">
        <f t="shared" si="512"/>
        <v>1</v>
      </c>
      <c r="AO447" s="63"/>
      <c r="AP447" s="346" t="str">
        <f t="shared" si="513"/>
        <v>1</v>
      </c>
      <c r="AQ447" s="63" t="str">
        <f t="shared" si="514"/>
        <v>2.1..1</v>
      </c>
      <c r="AR447" s="534"/>
      <c r="AS447" s="64" t="s">
        <v>2373</v>
      </c>
      <c r="AT447" s="95">
        <v>48810.78</v>
      </c>
      <c r="AU447" s="95">
        <v>45907.92</v>
      </c>
      <c r="AV447" s="371">
        <f t="shared" si="527"/>
        <v>0.94052830133015697</v>
      </c>
      <c r="AW447" s="95">
        <v>44331.79</v>
      </c>
      <c r="AX447" s="371">
        <f t="shared" si="528"/>
        <v>0.90823768847783215</v>
      </c>
      <c r="AY447" s="95">
        <v>4478.99</v>
      </c>
      <c r="AZ447" s="371">
        <f t="shared" si="529"/>
        <v>9.176231152216785E-2</v>
      </c>
      <c r="BA447" s="47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</row>
    <row r="448" spans="1:68" ht="20.25" customHeight="1">
      <c r="A448" s="100">
        <v>73</v>
      </c>
      <c r="B448" s="100" t="s">
        <v>60</v>
      </c>
      <c r="C448" s="100" t="s">
        <v>2374</v>
      </c>
      <c r="D448" s="102" t="s">
        <v>817</v>
      </c>
      <c r="E448" s="100" t="str">
        <f t="shared" si="300"/>
        <v>Sama</v>
      </c>
      <c r="F448" s="63">
        <f t="shared" si="504"/>
        <v>416</v>
      </c>
      <c r="G448" s="63">
        <v>18</v>
      </c>
      <c r="H448" s="64" t="s">
        <v>60</v>
      </c>
      <c r="I448" s="64" t="s">
        <v>817</v>
      </c>
      <c r="J448" s="66">
        <v>48830.979374159411</v>
      </c>
      <c r="K448" s="533" t="s">
        <v>91</v>
      </c>
      <c r="L448" s="68">
        <f t="shared" si="530"/>
        <v>50678.73</v>
      </c>
      <c r="M448" s="63"/>
      <c r="N448" s="392">
        <f t="shared" si="506"/>
        <v>2012</v>
      </c>
      <c r="O448" s="382" t="s">
        <v>801</v>
      </c>
      <c r="P448" s="68">
        <v>63672</v>
      </c>
      <c r="Q448" s="68">
        <v>0</v>
      </c>
      <c r="R448" s="68">
        <v>63672</v>
      </c>
      <c r="S448" s="68">
        <f t="shared" si="507"/>
        <v>63672</v>
      </c>
      <c r="T448" s="63"/>
      <c r="U448" s="385" t="s">
        <v>1740</v>
      </c>
      <c r="V448" s="370">
        <v>63672</v>
      </c>
      <c r="W448" s="370">
        <v>0</v>
      </c>
      <c r="X448" s="370">
        <v>63672</v>
      </c>
      <c r="Y448" s="68">
        <f t="shared" si="508"/>
        <v>63672</v>
      </c>
      <c r="Z448" s="345" t="s">
        <v>1076</v>
      </c>
      <c r="AA448" s="541" t="s">
        <v>818</v>
      </c>
      <c r="AB448" s="345">
        <v>48836.33</v>
      </c>
      <c r="AC448" s="345">
        <v>1842.4</v>
      </c>
      <c r="AD448" s="345">
        <f>AB448+AC448</f>
        <v>50678.73</v>
      </c>
      <c r="AE448" s="68">
        <f t="shared" si="509"/>
        <v>50678.73</v>
      </c>
      <c r="AF448" s="364">
        <v>2022</v>
      </c>
      <c r="AG448" s="344"/>
      <c r="AH448" s="84"/>
      <c r="AI448" s="63"/>
      <c r="AJ448" s="429" t="s">
        <v>1709</v>
      </c>
      <c r="AK448" s="63" t="str">
        <f t="shared" si="510"/>
        <v>V</v>
      </c>
      <c r="AL448" s="47"/>
      <c r="AM448" s="63" t="str">
        <f t="shared" si="511"/>
        <v>2</v>
      </c>
      <c r="AN448" s="63" t="str">
        <f t="shared" si="512"/>
        <v>1</v>
      </c>
      <c r="AO448" s="63"/>
      <c r="AP448" s="346" t="str">
        <f t="shared" si="513"/>
        <v>1</v>
      </c>
      <c r="AQ448" s="63" t="str">
        <f t="shared" si="514"/>
        <v>2.1..1</v>
      </c>
      <c r="AR448" s="534"/>
      <c r="AS448" s="64" t="s">
        <v>2375</v>
      </c>
      <c r="AT448" s="95">
        <v>48830.98</v>
      </c>
      <c r="AU448" s="95">
        <v>50663.22</v>
      </c>
      <c r="AV448" s="371">
        <f t="shared" si="527"/>
        <v>1.0375220812688992</v>
      </c>
      <c r="AW448" s="95">
        <v>46899.1</v>
      </c>
      <c r="AX448" s="371">
        <f t="shared" si="528"/>
        <v>0.96043741084041312</v>
      </c>
      <c r="AY448" s="95">
        <v>1931.88</v>
      </c>
      <c r="AZ448" s="371">
        <f t="shared" si="529"/>
        <v>3.9562589159586804E-2</v>
      </c>
      <c r="BA448" s="47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</row>
    <row r="449" spans="1:68" ht="20.25" customHeight="1">
      <c r="A449" s="100">
        <v>73</v>
      </c>
      <c r="B449" s="100" t="s">
        <v>60</v>
      </c>
      <c r="C449" s="100" t="s">
        <v>2376</v>
      </c>
      <c r="D449" s="102" t="s">
        <v>819</v>
      </c>
      <c r="E449" s="100" t="str">
        <f t="shared" si="300"/>
        <v>Sama</v>
      </c>
      <c r="F449" s="63">
        <f t="shared" si="504"/>
        <v>417</v>
      </c>
      <c r="G449" s="63">
        <v>19</v>
      </c>
      <c r="H449" s="64" t="s">
        <v>60</v>
      </c>
      <c r="I449" s="64" t="s">
        <v>819</v>
      </c>
      <c r="J449" s="66">
        <v>16322.332077681125</v>
      </c>
      <c r="K449" s="533" t="s">
        <v>91</v>
      </c>
      <c r="L449" s="68">
        <f t="shared" ref="L449:L450" si="531">IF(S449&gt;0,S449,IF(Y449&gt;0,Y449,IF(AE449&gt;0,AE449,0)))</f>
        <v>13593</v>
      </c>
      <c r="M449" s="63"/>
      <c r="N449" s="392">
        <f t="shared" si="506"/>
        <v>2012</v>
      </c>
      <c r="O449" s="382" t="s">
        <v>1742</v>
      </c>
      <c r="P449" s="68">
        <v>13593</v>
      </c>
      <c r="Q449" s="68">
        <v>0</v>
      </c>
      <c r="R449" s="68">
        <v>13593</v>
      </c>
      <c r="S449" s="68">
        <f t="shared" si="507"/>
        <v>13593</v>
      </c>
      <c r="T449" s="63" t="s">
        <v>1076</v>
      </c>
      <c r="U449" s="385" t="s">
        <v>820</v>
      </c>
      <c r="V449" s="370">
        <v>13593</v>
      </c>
      <c r="W449" s="370">
        <v>0</v>
      </c>
      <c r="X449" s="370">
        <v>0</v>
      </c>
      <c r="Y449" s="68">
        <f t="shared" si="508"/>
        <v>13593</v>
      </c>
      <c r="Z449" s="345"/>
      <c r="AA449" s="385"/>
      <c r="AB449" s="345"/>
      <c r="AC449" s="345"/>
      <c r="AD449" s="345"/>
      <c r="AE449" s="68">
        <f t="shared" si="509"/>
        <v>0</v>
      </c>
      <c r="AF449" s="366">
        <v>2020</v>
      </c>
      <c r="AG449" s="358"/>
      <c r="AH449" s="359"/>
      <c r="AI449" s="360"/>
      <c r="AJ449" s="430" t="s">
        <v>1722</v>
      </c>
      <c r="AK449" s="360" t="str">
        <f t="shared" si="510"/>
        <v>V</v>
      </c>
      <c r="AL449" s="18"/>
      <c r="AM449" s="360" t="str">
        <f t="shared" si="511"/>
        <v>2</v>
      </c>
      <c r="AN449" s="360" t="str">
        <f t="shared" si="512"/>
        <v>1</v>
      </c>
      <c r="AO449" s="360"/>
      <c r="AP449" s="346" t="str">
        <f t="shared" si="513"/>
        <v>1</v>
      </c>
      <c r="AQ449" s="360" t="str">
        <f t="shared" si="514"/>
        <v>2.1..1</v>
      </c>
      <c r="AR449" s="530"/>
      <c r="AS449" s="362" t="s">
        <v>2377</v>
      </c>
      <c r="AT449" s="367">
        <v>16322</v>
      </c>
      <c r="AU449" s="367">
        <v>14005</v>
      </c>
      <c r="AV449" s="368">
        <f t="shared" si="527"/>
        <v>0.85804435730915329</v>
      </c>
      <c r="AW449" s="367">
        <v>10628</v>
      </c>
      <c r="AX449" s="368">
        <f t="shared" si="528"/>
        <v>0.65114569292978797</v>
      </c>
      <c r="AY449" s="367">
        <v>5704</v>
      </c>
      <c r="AZ449" s="368">
        <f t="shared" si="529"/>
        <v>0.34946697708614138</v>
      </c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</row>
    <row r="450" spans="1:68" ht="20.25" customHeight="1">
      <c r="A450" s="100">
        <v>73</v>
      </c>
      <c r="B450" s="100" t="s">
        <v>60</v>
      </c>
      <c r="C450" s="100" t="s">
        <v>2378</v>
      </c>
      <c r="D450" s="102" t="s">
        <v>821</v>
      </c>
      <c r="E450" s="100" t="str">
        <f t="shared" si="300"/>
        <v>Sama</v>
      </c>
      <c r="F450" s="63">
        <f t="shared" si="504"/>
        <v>418</v>
      </c>
      <c r="G450" s="63">
        <v>20</v>
      </c>
      <c r="H450" s="64" t="s">
        <v>60</v>
      </c>
      <c r="I450" s="64" t="s">
        <v>821</v>
      </c>
      <c r="J450" s="66">
        <v>28355.11744899302</v>
      </c>
      <c r="K450" s="533" t="s">
        <v>104</v>
      </c>
      <c r="L450" s="68">
        <f t="shared" si="531"/>
        <v>46491</v>
      </c>
      <c r="M450" s="63"/>
      <c r="N450" s="392">
        <f t="shared" si="506"/>
        <v>2012</v>
      </c>
      <c r="O450" s="382" t="s">
        <v>223</v>
      </c>
      <c r="P450" s="68">
        <v>46491</v>
      </c>
      <c r="Q450" s="68">
        <v>0</v>
      </c>
      <c r="R450" s="68">
        <v>46491</v>
      </c>
      <c r="S450" s="68">
        <f t="shared" si="507"/>
        <v>46491</v>
      </c>
      <c r="T450" s="63"/>
      <c r="U450" s="347"/>
      <c r="V450" s="370"/>
      <c r="W450" s="370"/>
      <c r="X450" s="370"/>
      <c r="Y450" s="68">
        <f t="shared" si="508"/>
        <v>0</v>
      </c>
      <c r="Z450" s="345"/>
      <c r="AA450" s="347"/>
      <c r="AB450" s="345"/>
      <c r="AC450" s="345"/>
      <c r="AD450" s="345"/>
      <c r="AE450" s="68">
        <f t="shared" si="509"/>
        <v>0</v>
      </c>
      <c r="AF450" s="366">
        <v>2023</v>
      </c>
      <c r="AG450" s="358" t="s">
        <v>1160</v>
      </c>
      <c r="AH450" s="359"/>
      <c r="AI450" s="360"/>
      <c r="AJ450" s="430" t="s">
        <v>1709</v>
      </c>
      <c r="AK450" s="360" t="str">
        <f t="shared" si="510"/>
        <v/>
      </c>
      <c r="AL450" s="18"/>
      <c r="AM450" s="360" t="str">
        <f t="shared" si="511"/>
        <v>2</v>
      </c>
      <c r="AN450" s="360" t="str">
        <f t="shared" si="512"/>
        <v>1</v>
      </c>
      <c r="AO450" s="360"/>
      <c r="AP450" s="346" t="str">
        <f t="shared" si="513"/>
        <v>2</v>
      </c>
      <c r="AQ450" s="360" t="str">
        <f t="shared" si="514"/>
        <v>2.1..2</v>
      </c>
      <c r="AR450" s="530"/>
      <c r="AS450" s="360"/>
      <c r="AT450" s="362"/>
      <c r="AU450" s="362"/>
      <c r="AV450" s="362"/>
      <c r="AW450" s="362"/>
      <c r="AX450" s="362"/>
      <c r="AY450" s="362"/>
      <c r="AZ450" s="362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</row>
    <row r="451" spans="1:68" ht="20.25" customHeight="1">
      <c r="A451" s="100">
        <v>73</v>
      </c>
      <c r="B451" s="100" t="s">
        <v>60</v>
      </c>
      <c r="C451" s="100" t="s">
        <v>2379</v>
      </c>
      <c r="D451" s="102" t="s">
        <v>823</v>
      </c>
      <c r="E451" s="100" t="str">
        <f t="shared" si="300"/>
        <v>Sama</v>
      </c>
      <c r="F451" s="63">
        <f t="shared" si="504"/>
        <v>419</v>
      </c>
      <c r="G451" s="63">
        <v>21</v>
      </c>
      <c r="H451" s="64" t="s">
        <v>60</v>
      </c>
      <c r="I451" s="64" t="s">
        <v>823</v>
      </c>
      <c r="J451" s="66">
        <v>17182.258027413838</v>
      </c>
      <c r="K451" s="533" t="s">
        <v>91</v>
      </c>
      <c r="L451" s="68">
        <f>AE451</f>
        <v>13184.28</v>
      </c>
      <c r="M451" s="63"/>
      <c r="N451" s="392">
        <f t="shared" si="506"/>
        <v>2012</v>
      </c>
      <c r="O451" s="382" t="s">
        <v>843</v>
      </c>
      <c r="P451" s="68">
        <v>18688</v>
      </c>
      <c r="Q451" s="68">
        <v>0</v>
      </c>
      <c r="R451" s="68">
        <v>18688</v>
      </c>
      <c r="S451" s="68">
        <f t="shared" si="507"/>
        <v>18688</v>
      </c>
      <c r="T451" s="63"/>
      <c r="U451" s="347"/>
      <c r="V451" s="370"/>
      <c r="W451" s="370"/>
      <c r="X451" s="370"/>
      <c r="Y451" s="68">
        <f t="shared" si="508"/>
        <v>0</v>
      </c>
      <c r="Z451" s="345" t="s">
        <v>1076</v>
      </c>
      <c r="AA451" s="536" t="s">
        <v>1745</v>
      </c>
      <c r="AB451" s="373">
        <v>13184.28</v>
      </c>
      <c r="AC451" s="374">
        <v>3784.68</v>
      </c>
      <c r="AD451" s="345"/>
      <c r="AE451" s="68">
        <f t="shared" si="509"/>
        <v>13184.28</v>
      </c>
      <c r="AF451" s="364">
        <v>2022</v>
      </c>
      <c r="AG451" s="344"/>
      <c r="AH451" s="84"/>
      <c r="AI451" s="63"/>
      <c r="AJ451" s="429" t="s">
        <v>1709</v>
      </c>
      <c r="AK451" s="63" t="str">
        <f t="shared" si="510"/>
        <v>V</v>
      </c>
      <c r="AL451" s="47"/>
      <c r="AM451" s="63" t="str">
        <f t="shared" si="511"/>
        <v>2</v>
      </c>
      <c r="AN451" s="63" t="str">
        <f t="shared" si="512"/>
        <v>1</v>
      </c>
      <c r="AO451" s="63"/>
      <c r="AP451" s="346" t="str">
        <f t="shared" si="513"/>
        <v>1</v>
      </c>
      <c r="AQ451" s="63" t="str">
        <f t="shared" si="514"/>
        <v>2.1..1</v>
      </c>
      <c r="AR451" s="534"/>
      <c r="AS451" s="64" t="s">
        <v>2380</v>
      </c>
      <c r="AT451" s="95">
        <v>17182.259999999998</v>
      </c>
      <c r="AU451" s="95">
        <v>16968.96</v>
      </c>
      <c r="AV451" s="371">
        <f>AU451/AT451</f>
        <v>0.9875860335019957</v>
      </c>
      <c r="AW451" s="95">
        <v>15720.1</v>
      </c>
      <c r="AX451" s="371">
        <f>AW451/AT451</f>
        <v>0.91490292895113923</v>
      </c>
      <c r="AY451" s="95">
        <v>1462.16</v>
      </c>
      <c r="AZ451" s="371">
        <f>AY451/AT451</f>
        <v>8.509707104886087E-2</v>
      </c>
      <c r="BA451" s="47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</row>
    <row r="452" spans="1:68" ht="20.25" customHeight="1">
      <c r="A452" s="100">
        <v>73</v>
      </c>
      <c r="B452" s="100" t="s">
        <v>60</v>
      </c>
      <c r="C452" s="100" t="s">
        <v>2381</v>
      </c>
      <c r="D452" s="102" t="s">
        <v>825</v>
      </c>
      <c r="E452" s="100" t="str">
        <f t="shared" si="300"/>
        <v>Sama</v>
      </c>
      <c r="F452" s="63">
        <f t="shared" si="504"/>
        <v>420</v>
      </c>
      <c r="G452" s="63">
        <v>22</v>
      </c>
      <c r="H452" s="64" t="s">
        <v>60</v>
      </c>
      <c r="I452" s="64" t="s">
        <v>825</v>
      </c>
      <c r="J452" s="66">
        <v>14392.265329278842</v>
      </c>
      <c r="K452" s="533" t="s">
        <v>104</v>
      </c>
      <c r="L452" s="68">
        <f t="shared" ref="L452:L453" si="532">IF(S452&gt;0,S452,IF(Y452&gt;0,Y452,IF(AE452&gt;0,AE452,0)))</f>
        <v>10960</v>
      </c>
      <c r="M452" s="63"/>
      <c r="N452" s="392">
        <f t="shared" si="506"/>
        <v>2011</v>
      </c>
      <c r="O452" s="382" t="s">
        <v>405</v>
      </c>
      <c r="P452" s="68">
        <v>10960</v>
      </c>
      <c r="Q452" s="68">
        <v>0</v>
      </c>
      <c r="R452" s="68">
        <v>10960</v>
      </c>
      <c r="S452" s="68">
        <f t="shared" si="507"/>
        <v>10960</v>
      </c>
      <c r="T452" s="63"/>
      <c r="U452" s="347"/>
      <c r="V452" s="370"/>
      <c r="W452" s="370"/>
      <c r="X452" s="370"/>
      <c r="Y452" s="68">
        <f t="shared" si="508"/>
        <v>0</v>
      </c>
      <c r="Z452" s="345"/>
      <c r="AA452" s="347"/>
      <c r="AB452" s="345"/>
      <c r="AC452" s="345"/>
      <c r="AD452" s="345"/>
      <c r="AE452" s="68">
        <f t="shared" si="509"/>
        <v>0</v>
      </c>
      <c r="AF452" s="366" t="s">
        <v>1129</v>
      </c>
      <c r="AG452" s="358" t="s">
        <v>1090</v>
      </c>
      <c r="AH452" s="359"/>
      <c r="AI452" s="360"/>
      <c r="AJ452" s="430" t="s">
        <v>1709</v>
      </c>
      <c r="AK452" s="360" t="str">
        <f t="shared" si="510"/>
        <v/>
      </c>
      <c r="AL452" s="18"/>
      <c r="AM452" s="360" t="str">
        <f t="shared" si="511"/>
        <v>2</v>
      </c>
      <c r="AN452" s="360" t="str">
        <f t="shared" si="512"/>
        <v>1</v>
      </c>
      <c r="AO452" s="360"/>
      <c r="AP452" s="346" t="str">
        <f t="shared" si="513"/>
        <v>2</v>
      </c>
      <c r="AQ452" s="360" t="str">
        <f t="shared" si="514"/>
        <v>2.1..2</v>
      </c>
      <c r="AR452" s="530"/>
      <c r="AS452" s="360"/>
      <c r="AT452" s="362"/>
      <c r="AU452" s="362"/>
      <c r="AV452" s="362"/>
      <c r="AW452" s="362"/>
      <c r="AX452" s="362"/>
      <c r="AY452" s="362"/>
      <c r="AZ452" s="362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</row>
    <row r="453" spans="1:68" ht="20.25" customHeight="1">
      <c r="A453" s="100">
        <v>73</v>
      </c>
      <c r="B453" s="100" t="s">
        <v>60</v>
      </c>
      <c r="C453" s="100" t="s">
        <v>2382</v>
      </c>
      <c r="D453" s="102" t="s">
        <v>827</v>
      </c>
      <c r="E453" s="100" t="str">
        <f t="shared" si="300"/>
        <v>Sama</v>
      </c>
      <c r="F453" s="63">
        <f t="shared" si="504"/>
        <v>421</v>
      </c>
      <c r="G453" s="63">
        <v>23</v>
      </c>
      <c r="H453" s="64" t="s">
        <v>60</v>
      </c>
      <c r="I453" s="64" t="s">
        <v>827</v>
      </c>
      <c r="J453" s="66">
        <v>16047.261856132274</v>
      </c>
      <c r="K453" s="533" t="s">
        <v>104</v>
      </c>
      <c r="L453" s="68">
        <f t="shared" si="532"/>
        <v>0</v>
      </c>
      <c r="M453" s="63"/>
      <c r="N453" s="392" t="e">
        <f t="shared" si="506"/>
        <v>#VALUE!</v>
      </c>
      <c r="O453" s="382"/>
      <c r="P453" s="68"/>
      <c r="Q453" s="68"/>
      <c r="R453" s="68"/>
      <c r="S453" s="68">
        <f t="shared" si="507"/>
        <v>0</v>
      </c>
      <c r="T453" s="63"/>
      <c r="U453" s="347" t="s">
        <v>1748</v>
      </c>
      <c r="V453" s="370">
        <v>0</v>
      </c>
      <c r="W453" s="370">
        <v>0</v>
      </c>
      <c r="X453" s="370">
        <v>0</v>
      </c>
      <c r="Y453" s="68">
        <f t="shared" si="508"/>
        <v>0</v>
      </c>
      <c r="Z453" s="345"/>
      <c r="AA453" s="347"/>
      <c r="AB453" s="345"/>
      <c r="AC453" s="345"/>
      <c r="AD453" s="345"/>
      <c r="AE453" s="68">
        <f t="shared" si="509"/>
        <v>0</v>
      </c>
      <c r="AF453" s="366" t="s">
        <v>1129</v>
      </c>
      <c r="AG453" s="358" t="s">
        <v>1090</v>
      </c>
      <c r="AH453" s="359"/>
      <c r="AI453" s="360"/>
      <c r="AJ453" s="430" t="s">
        <v>1749</v>
      </c>
      <c r="AK453" s="360" t="str">
        <f t="shared" si="510"/>
        <v/>
      </c>
      <c r="AL453" s="18"/>
      <c r="AM453" s="360" t="e">
        <f t="shared" si="511"/>
        <v>#VALUE!</v>
      </c>
      <c r="AN453" s="360" t="str">
        <f t="shared" si="512"/>
        <v>2</v>
      </c>
      <c r="AO453" s="360"/>
      <c r="AP453" s="346" t="str">
        <f t="shared" si="513"/>
        <v>2</v>
      </c>
      <c r="AQ453" s="360" t="e">
        <f t="shared" si="514"/>
        <v>#VALUE!</v>
      </c>
      <c r="AR453" s="530"/>
      <c r="AS453" s="360"/>
      <c r="AT453" s="362"/>
      <c r="AU453" s="362"/>
      <c r="AV453" s="362"/>
      <c r="AW453" s="362"/>
      <c r="AX453" s="362"/>
      <c r="AY453" s="362"/>
      <c r="AZ453" s="362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</row>
    <row r="454" spans="1:68" ht="20.25" customHeight="1">
      <c r="A454" s="100">
        <v>73</v>
      </c>
      <c r="B454" s="100" t="s">
        <v>60</v>
      </c>
      <c r="C454" s="100" t="s">
        <v>2383</v>
      </c>
      <c r="D454" s="102" t="s">
        <v>829</v>
      </c>
      <c r="E454" s="100" t="str">
        <f t="shared" si="300"/>
        <v>Sama</v>
      </c>
      <c r="F454" s="63">
        <f t="shared" si="504"/>
        <v>422</v>
      </c>
      <c r="G454" s="63">
        <v>24</v>
      </c>
      <c r="H454" s="64" t="s">
        <v>60</v>
      </c>
      <c r="I454" s="64" t="s">
        <v>829</v>
      </c>
      <c r="J454" s="66">
        <v>101325.56488263552</v>
      </c>
      <c r="K454" s="533" t="s">
        <v>91</v>
      </c>
      <c r="L454" s="68">
        <f>AE454</f>
        <v>99043.48</v>
      </c>
      <c r="M454" s="63"/>
      <c r="N454" s="392">
        <f t="shared" si="506"/>
        <v>2012</v>
      </c>
      <c r="O454" s="382" t="s">
        <v>682</v>
      </c>
      <c r="P454" s="68">
        <v>180000</v>
      </c>
      <c r="Q454" s="68">
        <v>0</v>
      </c>
      <c r="R454" s="68">
        <v>180000</v>
      </c>
      <c r="S454" s="68">
        <f t="shared" si="507"/>
        <v>180000</v>
      </c>
      <c r="T454" s="63"/>
      <c r="U454" s="347"/>
      <c r="V454" s="370"/>
      <c r="W454" s="370"/>
      <c r="X454" s="370"/>
      <c r="Y454" s="68">
        <f t="shared" si="508"/>
        <v>0</v>
      </c>
      <c r="Z454" s="345" t="s">
        <v>1076</v>
      </c>
      <c r="AA454" s="536" t="s">
        <v>830</v>
      </c>
      <c r="AB454" s="373">
        <v>99043.48</v>
      </c>
      <c r="AC454" s="374">
        <v>706.84</v>
      </c>
      <c r="AD454" s="345"/>
      <c r="AE454" s="68">
        <f t="shared" si="509"/>
        <v>99043.48</v>
      </c>
      <c r="AF454" s="364">
        <v>2022</v>
      </c>
      <c r="AG454" s="344"/>
      <c r="AH454" s="84"/>
      <c r="AI454" s="63"/>
      <c r="AJ454" s="429" t="s">
        <v>1713</v>
      </c>
      <c r="AK454" s="63" t="str">
        <f t="shared" si="510"/>
        <v>V</v>
      </c>
      <c r="AL454" s="47"/>
      <c r="AM454" s="63" t="str">
        <f t="shared" si="511"/>
        <v>2</v>
      </c>
      <c r="AN454" s="63" t="str">
        <f t="shared" si="512"/>
        <v>1</v>
      </c>
      <c r="AO454" s="63"/>
      <c r="AP454" s="346" t="str">
        <f t="shared" si="513"/>
        <v>1</v>
      </c>
      <c r="AQ454" s="63" t="str">
        <f t="shared" si="514"/>
        <v>2.1..1</v>
      </c>
      <c r="AR454" s="534"/>
      <c r="AS454" s="64" t="s">
        <v>2384</v>
      </c>
      <c r="AT454" s="95">
        <v>101325.56</v>
      </c>
      <c r="AU454" s="95">
        <v>99750.32</v>
      </c>
      <c r="AV454" s="371">
        <f>AU454/AT454</f>
        <v>0.98445367585434529</v>
      </c>
      <c r="AW454" s="95">
        <v>99097.07</v>
      </c>
      <c r="AX454" s="371">
        <f>AW454/AT454</f>
        <v>0.97800663524583542</v>
      </c>
      <c r="AY454" s="95">
        <v>2228.5</v>
      </c>
      <c r="AZ454" s="371">
        <f>AY454/AT454</f>
        <v>2.199346344594592E-2</v>
      </c>
      <c r="BA454" s="47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</row>
    <row r="455" spans="1:68" ht="20.25" customHeight="1">
      <c r="A455" s="100">
        <v>74</v>
      </c>
      <c r="B455" s="100" t="s">
        <v>61</v>
      </c>
      <c r="C455" s="100">
        <v>74</v>
      </c>
      <c r="D455" s="102" t="s">
        <v>2385</v>
      </c>
      <c r="E455" s="100" t="str">
        <f t="shared" si="300"/>
        <v>Sama</v>
      </c>
      <c r="F455" s="63"/>
      <c r="G455" s="341"/>
      <c r="H455" s="379"/>
      <c r="I455" s="379" t="s">
        <v>2385</v>
      </c>
      <c r="J455" s="380">
        <f>SUM(J456:J472)</f>
        <v>82116.600428852806</v>
      </c>
      <c r="K455" s="353">
        <f>COUNTIF(K456:K472,"D") + COUNTIF(K456:K472,"DS")</f>
        <v>15</v>
      </c>
      <c r="L455" s="383">
        <f>SUBTOTAL(9,L456:L472)</f>
        <v>141666.97</v>
      </c>
      <c r="M455" s="342"/>
      <c r="N455" s="355"/>
      <c r="O455" s="356"/>
      <c r="P455" s="383">
        <f t="shared" ref="P455:T455" si="533">SUBTOTAL(9,P456:P472)</f>
        <v>140027.45000000001</v>
      </c>
      <c r="Q455" s="383">
        <f t="shared" si="533"/>
        <v>0</v>
      </c>
      <c r="R455" s="383">
        <f t="shared" si="533"/>
        <v>171229.69</v>
      </c>
      <c r="S455" s="383">
        <f t="shared" si="533"/>
        <v>171229.69</v>
      </c>
      <c r="T455" s="383">
        <f t="shared" si="533"/>
        <v>0</v>
      </c>
      <c r="U455" s="351"/>
      <c r="V455" s="384">
        <v>23355.85</v>
      </c>
      <c r="W455" s="384">
        <v>2216.0299999999997</v>
      </c>
      <c r="X455" s="384">
        <v>11713.28</v>
      </c>
      <c r="Y455" s="383">
        <f>SUBTOTAL(9,Y456:Y472)</f>
        <v>56575.37</v>
      </c>
      <c r="Z455" s="337">
        <v>1</v>
      </c>
      <c r="AA455" s="351">
        <v>3</v>
      </c>
      <c r="AB455" s="337">
        <v>23355.85</v>
      </c>
      <c r="AC455" s="337">
        <v>2216.0299999999997</v>
      </c>
      <c r="AD455" s="337">
        <v>11713.28</v>
      </c>
      <c r="AE455" s="383">
        <f>SUBTOTAL(9,AE456:AE472)</f>
        <v>12850.880000000001</v>
      </c>
      <c r="AF455" s="357" t="s">
        <v>1138</v>
      </c>
      <c r="AG455" s="358"/>
      <c r="AH455" s="359"/>
      <c r="AI455" s="360"/>
      <c r="AJ455" s="360"/>
      <c r="AK455" s="361">
        <f>COUNTIF(AK456:AK472,"V") + COUNTIF(AK456:AK472,"VV") + COUNTIF(AK456:AK472,"VVV")</f>
        <v>6</v>
      </c>
      <c r="AL455" s="18"/>
      <c r="AM455" s="360"/>
      <c r="AN455" s="360" t="str">
        <f t="shared" si="512"/>
        <v>1</v>
      </c>
      <c r="AO455" s="360"/>
      <c r="AP455" s="346"/>
      <c r="AQ455" s="360"/>
      <c r="AR455" s="530"/>
      <c r="AS455" s="360"/>
      <c r="AT455" s="362"/>
      <c r="AU455" s="362"/>
      <c r="AV455" s="362"/>
      <c r="AW455" s="362"/>
      <c r="AX455" s="362"/>
      <c r="AY455" s="362"/>
      <c r="AZ455" s="362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</row>
    <row r="456" spans="1:68" ht="20.25" customHeight="1">
      <c r="A456" s="100">
        <v>74</v>
      </c>
      <c r="B456" s="100" t="s">
        <v>61</v>
      </c>
      <c r="C456" s="100" t="s">
        <v>2386</v>
      </c>
      <c r="D456" s="102" t="s">
        <v>831</v>
      </c>
      <c r="E456" s="100" t="str">
        <f t="shared" si="300"/>
        <v>Sama</v>
      </c>
      <c r="F456" s="63">
        <f t="shared" ref="F456:F472" si="534">SUBTOTAL(3,$G$7:G456)</f>
        <v>423</v>
      </c>
      <c r="G456" s="63">
        <v>1</v>
      </c>
      <c r="H456" s="62" t="s">
        <v>61</v>
      </c>
      <c r="I456" s="62" t="s">
        <v>831</v>
      </c>
      <c r="J456" s="66">
        <v>10043.823357026915</v>
      </c>
      <c r="K456" s="533" t="s">
        <v>91</v>
      </c>
      <c r="L456" s="68">
        <f>Y456</f>
        <v>12106</v>
      </c>
      <c r="M456" s="63"/>
      <c r="N456" s="392">
        <f t="shared" ref="N456:N472" si="535">VALUE(RIGHT(O456,4))</f>
        <v>2013</v>
      </c>
      <c r="O456" s="382" t="s">
        <v>1753</v>
      </c>
      <c r="P456" s="68">
        <v>54510</v>
      </c>
      <c r="Q456" s="68">
        <v>0</v>
      </c>
      <c r="R456" s="68">
        <v>54510</v>
      </c>
      <c r="S456" s="68">
        <f t="shared" ref="S456:S472" si="536">IF(R456&gt;0,R456,IF(P456&gt;0,P456,0))</f>
        <v>54510</v>
      </c>
      <c r="T456" s="63" t="s">
        <v>1076</v>
      </c>
      <c r="U456" s="385" t="s">
        <v>1754</v>
      </c>
      <c r="V456" s="370">
        <v>12106</v>
      </c>
      <c r="W456" s="370">
        <v>617</v>
      </c>
      <c r="X456" s="370"/>
      <c r="Y456" s="68">
        <f t="shared" ref="Y456:Y472" si="537">IF(X456&gt;0,X456,IF(V456&gt;0,V456,0))</f>
        <v>12106</v>
      </c>
      <c r="Z456" s="345"/>
      <c r="AA456" s="385"/>
      <c r="AB456" s="345"/>
      <c r="AC456" s="345"/>
      <c r="AD456" s="345"/>
      <c r="AE456" s="68">
        <f t="shared" ref="AE456:AE472" si="538">IF(AD456&gt;0,AD456,IF(AB456&gt;0,AB456,0))</f>
        <v>0</v>
      </c>
      <c r="AF456" s="366">
        <v>2020</v>
      </c>
      <c r="AG456" s="358"/>
      <c r="AH456" s="359"/>
      <c r="AI456" s="360"/>
      <c r="AJ456" s="360"/>
      <c r="AK456" s="360" t="str">
        <f t="shared" ref="AK456:AK472" si="539">CONCATENATE(M456,T456,Z456)</f>
        <v>V</v>
      </c>
      <c r="AL456" s="18"/>
      <c r="AM456" s="360" t="str">
        <f t="shared" ref="AM456:AM472" si="540">IF(N456=0,"3",IF(N456&lt;=2018,"2","1"))</f>
        <v>2</v>
      </c>
      <c r="AN456" s="360" t="str">
        <f t="shared" si="512"/>
        <v>1</v>
      </c>
      <c r="AO456" s="360"/>
      <c r="AP456" s="346" t="str">
        <f t="shared" ref="AP456:AP472" si="541">IF(Y456&gt;0,"1",IF(AE456&gt;0,"1","2"))</f>
        <v>1</v>
      </c>
      <c r="AQ456" s="360" t="str">
        <f t="shared" ref="AQ456:AQ546" si="542">CONCATENATE(AM456,".",AN456,".",AO456,".",AP456)</f>
        <v>2.1..1</v>
      </c>
      <c r="AR456" s="530"/>
      <c r="AS456" s="362" t="s">
        <v>2387</v>
      </c>
      <c r="AT456" s="367">
        <v>12405</v>
      </c>
      <c r="AU456" s="367">
        <v>12461</v>
      </c>
      <c r="AV456" s="368">
        <f t="shared" ref="AV456:AV458" si="543">AU456/AT456</f>
        <v>1.0045143087464732</v>
      </c>
      <c r="AW456" s="367">
        <v>12405</v>
      </c>
      <c r="AX456" s="368">
        <f t="shared" ref="AX456:AX458" si="544">AW456/AT456</f>
        <v>1</v>
      </c>
      <c r="AY456" s="362" t="s">
        <v>1032</v>
      </c>
      <c r="AZ456" s="368" t="e">
        <f t="shared" ref="AZ456:AZ458" si="545">AY456/AT456</f>
        <v>#VALUE!</v>
      </c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</row>
    <row r="457" spans="1:68" ht="20.25" customHeight="1">
      <c r="A457" s="100">
        <v>74</v>
      </c>
      <c r="B457" s="100" t="s">
        <v>61</v>
      </c>
      <c r="C457" s="100" t="s">
        <v>2388</v>
      </c>
      <c r="D457" s="102" t="s">
        <v>832</v>
      </c>
      <c r="E457" s="100" t="str">
        <f t="shared" si="300"/>
        <v>Sama</v>
      </c>
      <c r="F457" s="63">
        <f t="shared" si="534"/>
        <v>424</v>
      </c>
      <c r="G457" s="63">
        <v>2</v>
      </c>
      <c r="H457" s="62" t="s">
        <v>61</v>
      </c>
      <c r="I457" s="62" t="s">
        <v>832</v>
      </c>
      <c r="J457" s="66">
        <v>1369.0002596838744</v>
      </c>
      <c r="K457" s="533" t="s">
        <v>91</v>
      </c>
      <c r="L457" s="68">
        <f t="shared" ref="L457:L472" si="546">IF(S457&gt;0,S457,IF(Y457&gt;0,Y457,IF(AE457&gt;0,AE457,0)))</f>
        <v>1128</v>
      </c>
      <c r="M457" s="63"/>
      <c r="N457" s="392" t="e">
        <f t="shared" si="535"/>
        <v>#VALUE!</v>
      </c>
      <c r="O457" s="382"/>
      <c r="P457" s="68"/>
      <c r="Q457" s="68"/>
      <c r="R457" s="68"/>
      <c r="S457" s="68">
        <f t="shared" si="536"/>
        <v>0</v>
      </c>
      <c r="T457" s="63" t="s">
        <v>1076</v>
      </c>
      <c r="U457" s="541" t="s">
        <v>1756</v>
      </c>
      <c r="V457" s="370">
        <v>1128</v>
      </c>
      <c r="W457" s="370"/>
      <c r="X457" s="370"/>
      <c r="Y457" s="68">
        <f t="shared" si="537"/>
        <v>1128</v>
      </c>
      <c r="Z457" s="345"/>
      <c r="AA457" s="385"/>
      <c r="AB457" s="345"/>
      <c r="AC457" s="345"/>
      <c r="AD457" s="345"/>
      <c r="AE457" s="68">
        <f t="shared" si="538"/>
        <v>0</v>
      </c>
      <c r="AF457" s="364" t="s">
        <v>1097</v>
      </c>
      <c r="AG457" s="344"/>
      <c r="AH457" s="84"/>
      <c r="AI457" s="63"/>
      <c r="AJ457" s="63"/>
      <c r="AK457" s="63" t="str">
        <f t="shared" si="539"/>
        <v>V</v>
      </c>
      <c r="AL457" s="47"/>
      <c r="AM457" s="63" t="e">
        <f t="shared" si="540"/>
        <v>#VALUE!</v>
      </c>
      <c r="AN457" s="63" t="str">
        <f t="shared" si="512"/>
        <v>2</v>
      </c>
      <c r="AO457" s="63"/>
      <c r="AP457" s="346" t="str">
        <f t="shared" si="541"/>
        <v>1</v>
      </c>
      <c r="AQ457" s="63" t="e">
        <f t="shared" si="542"/>
        <v>#VALUE!</v>
      </c>
      <c r="AR457" s="534"/>
      <c r="AS457" s="347"/>
      <c r="AT457" s="95"/>
      <c r="AU457" s="95"/>
      <c r="AV457" s="371" t="e">
        <f t="shared" si="543"/>
        <v>#DIV/0!</v>
      </c>
      <c r="AW457" s="95"/>
      <c r="AX457" s="371" t="e">
        <f t="shared" si="544"/>
        <v>#DIV/0!</v>
      </c>
      <c r="AY457" s="95"/>
      <c r="AZ457" s="371" t="e">
        <f t="shared" si="545"/>
        <v>#DIV/0!</v>
      </c>
      <c r="BA457" s="47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</row>
    <row r="458" spans="1:68" ht="20.25" customHeight="1">
      <c r="A458" s="100">
        <v>74</v>
      </c>
      <c r="B458" s="100" t="s">
        <v>61</v>
      </c>
      <c r="C458" s="100" t="s">
        <v>2389</v>
      </c>
      <c r="D458" s="102" t="s">
        <v>834</v>
      </c>
      <c r="E458" s="100" t="str">
        <f t="shared" si="300"/>
        <v>Sama</v>
      </c>
      <c r="F458" s="63">
        <f t="shared" si="534"/>
        <v>425</v>
      </c>
      <c r="G458" s="63">
        <v>3</v>
      </c>
      <c r="H458" s="62" t="s">
        <v>61</v>
      </c>
      <c r="I458" s="62" t="s">
        <v>834</v>
      </c>
      <c r="J458" s="66">
        <v>0</v>
      </c>
      <c r="K458" s="533" t="s">
        <v>91</v>
      </c>
      <c r="L458" s="68">
        <f t="shared" si="546"/>
        <v>1831.74</v>
      </c>
      <c r="M458" s="63"/>
      <c r="N458" s="392" t="e">
        <f t="shared" si="535"/>
        <v>#VALUE!</v>
      </c>
      <c r="O458" s="382"/>
      <c r="P458" s="68"/>
      <c r="Q458" s="68"/>
      <c r="R458" s="68"/>
      <c r="S458" s="68">
        <f t="shared" si="536"/>
        <v>0</v>
      </c>
      <c r="T458" s="63"/>
      <c r="U458" s="347"/>
      <c r="V458" s="370"/>
      <c r="W458" s="370"/>
      <c r="X458" s="370"/>
      <c r="Y458" s="68">
        <f t="shared" si="537"/>
        <v>0</v>
      </c>
      <c r="Z458" s="345" t="s">
        <v>1076</v>
      </c>
      <c r="AA458" s="531" t="s">
        <v>835</v>
      </c>
      <c r="AB458" s="345">
        <v>230.71</v>
      </c>
      <c r="AC458" s="345">
        <v>1599.03</v>
      </c>
      <c r="AD458" s="345">
        <v>1831.74</v>
      </c>
      <c r="AE458" s="68">
        <f t="shared" si="538"/>
        <v>1831.74</v>
      </c>
      <c r="AF458" s="366">
        <v>2020</v>
      </c>
      <c r="AG458" s="358"/>
      <c r="AH458" s="359"/>
      <c r="AI458" s="360"/>
      <c r="AJ458" s="360"/>
      <c r="AK458" s="360" t="str">
        <f t="shared" si="539"/>
        <v>V</v>
      </c>
      <c r="AL458" s="18"/>
      <c r="AM458" s="360" t="e">
        <f t="shared" si="540"/>
        <v>#VALUE!</v>
      </c>
      <c r="AN458" s="360" t="str">
        <f t="shared" si="512"/>
        <v>2</v>
      </c>
      <c r="AO458" s="360"/>
      <c r="AP458" s="346" t="str">
        <f t="shared" si="541"/>
        <v>1</v>
      </c>
      <c r="AQ458" s="360" t="e">
        <f t="shared" si="542"/>
        <v>#VALUE!</v>
      </c>
      <c r="AR458" s="530"/>
      <c r="AS458" s="362" t="s">
        <v>835</v>
      </c>
      <c r="AT458" s="362" t="s">
        <v>1032</v>
      </c>
      <c r="AU458" s="362">
        <v>282</v>
      </c>
      <c r="AV458" s="368" t="e">
        <f t="shared" si="543"/>
        <v>#VALUE!</v>
      </c>
      <c r="AW458" s="362"/>
      <c r="AX458" s="368" t="e">
        <f t="shared" si="544"/>
        <v>#VALUE!</v>
      </c>
      <c r="AY458" s="362"/>
      <c r="AZ458" s="368" t="e">
        <f t="shared" si="545"/>
        <v>#VALUE!</v>
      </c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</row>
    <row r="459" spans="1:68" ht="20.25" customHeight="1">
      <c r="A459" s="100">
        <v>74</v>
      </c>
      <c r="B459" s="100" t="s">
        <v>61</v>
      </c>
      <c r="C459" s="100" t="s">
        <v>2390</v>
      </c>
      <c r="D459" s="102" t="s">
        <v>836</v>
      </c>
      <c r="E459" s="100" t="str">
        <f t="shared" si="300"/>
        <v>Sama</v>
      </c>
      <c r="F459" s="63">
        <f t="shared" si="534"/>
        <v>426</v>
      </c>
      <c r="G459" s="63">
        <v>4</v>
      </c>
      <c r="H459" s="62" t="s">
        <v>61</v>
      </c>
      <c r="I459" s="62" t="s">
        <v>836</v>
      </c>
      <c r="J459" s="66">
        <v>0</v>
      </c>
      <c r="K459" s="533" t="s">
        <v>104</v>
      </c>
      <c r="L459" s="68">
        <f t="shared" si="546"/>
        <v>1025</v>
      </c>
      <c r="M459" s="63"/>
      <c r="N459" s="392">
        <f t="shared" si="535"/>
        <v>2020</v>
      </c>
      <c r="O459" s="382" t="s">
        <v>1759</v>
      </c>
      <c r="P459" s="68">
        <v>1025</v>
      </c>
      <c r="Q459" s="68">
        <v>0</v>
      </c>
      <c r="R459" s="68">
        <v>1025</v>
      </c>
      <c r="S459" s="68">
        <f t="shared" si="536"/>
        <v>1025</v>
      </c>
      <c r="T459" s="63"/>
      <c r="U459" s="531" t="s">
        <v>837</v>
      </c>
      <c r="V459" s="370">
        <v>32331.83</v>
      </c>
      <c r="W459" s="370"/>
      <c r="X459" s="370"/>
      <c r="Y459" s="68">
        <f t="shared" si="537"/>
        <v>32331.83</v>
      </c>
      <c r="Z459" s="345"/>
      <c r="AA459" s="347"/>
      <c r="AB459" s="345"/>
      <c r="AC459" s="345"/>
      <c r="AD459" s="345"/>
      <c r="AE459" s="68">
        <f t="shared" si="538"/>
        <v>0</v>
      </c>
      <c r="AF459" s="366" t="s">
        <v>1097</v>
      </c>
      <c r="AG459" s="358"/>
      <c r="AH459" s="359"/>
      <c r="AI459" s="360"/>
      <c r="AJ459" s="360"/>
      <c r="AK459" s="360" t="str">
        <f t="shared" si="539"/>
        <v/>
      </c>
      <c r="AL459" s="18"/>
      <c r="AM459" s="360" t="str">
        <f t="shared" si="540"/>
        <v>1</v>
      </c>
      <c r="AN459" s="360" t="str">
        <f t="shared" si="512"/>
        <v>1</v>
      </c>
      <c r="AO459" s="360"/>
      <c r="AP459" s="346" t="str">
        <f t="shared" si="541"/>
        <v>1</v>
      </c>
      <c r="AQ459" s="360" t="str">
        <f t="shared" si="542"/>
        <v>1.1..1</v>
      </c>
      <c r="AR459" s="530"/>
      <c r="AS459" s="360"/>
      <c r="AT459" s="362"/>
      <c r="AU459" s="362"/>
      <c r="AV459" s="362"/>
      <c r="AW459" s="362"/>
      <c r="AX459" s="362"/>
      <c r="AY459" s="362"/>
      <c r="AZ459" s="362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</row>
    <row r="460" spans="1:68" ht="20.25" customHeight="1">
      <c r="A460" s="100">
        <v>74</v>
      </c>
      <c r="B460" s="100" t="s">
        <v>61</v>
      </c>
      <c r="C460" s="100" t="s">
        <v>2391</v>
      </c>
      <c r="D460" s="102" t="s">
        <v>838</v>
      </c>
      <c r="E460" s="100" t="str">
        <f t="shared" si="300"/>
        <v>Sama</v>
      </c>
      <c r="F460" s="63">
        <f t="shared" si="534"/>
        <v>427</v>
      </c>
      <c r="G460" s="63">
        <v>5</v>
      </c>
      <c r="H460" s="62" t="s">
        <v>61</v>
      </c>
      <c r="I460" s="62" t="s">
        <v>838</v>
      </c>
      <c r="J460" s="66">
        <v>992.26889610267153</v>
      </c>
      <c r="K460" s="533" t="s">
        <v>91</v>
      </c>
      <c r="L460" s="68">
        <f t="shared" si="546"/>
        <v>2830</v>
      </c>
      <c r="M460" s="63"/>
      <c r="N460" s="392">
        <f t="shared" si="535"/>
        <v>2012</v>
      </c>
      <c r="O460" s="382" t="s">
        <v>1761</v>
      </c>
      <c r="P460" s="68">
        <v>2830</v>
      </c>
      <c r="Q460" s="68">
        <v>0</v>
      </c>
      <c r="R460" s="68">
        <v>2830</v>
      </c>
      <c r="S460" s="68">
        <f t="shared" si="536"/>
        <v>2830</v>
      </c>
      <c r="T460" s="63" t="s">
        <v>1076</v>
      </c>
      <c r="U460" s="385" t="s">
        <v>833</v>
      </c>
      <c r="V460" s="370">
        <v>1128</v>
      </c>
      <c r="W460" s="370">
        <v>2007</v>
      </c>
      <c r="X460" s="370"/>
      <c r="Y460" s="68">
        <f t="shared" si="537"/>
        <v>1128</v>
      </c>
      <c r="Z460" s="345"/>
      <c r="AA460" s="541" t="s">
        <v>1762</v>
      </c>
      <c r="AB460" s="345">
        <v>1137.5999999999999</v>
      </c>
      <c r="AC460" s="345">
        <v>0</v>
      </c>
      <c r="AD460" s="345">
        <v>0</v>
      </c>
      <c r="AE460" s="68">
        <f t="shared" si="538"/>
        <v>1137.5999999999999</v>
      </c>
      <c r="AF460" s="366">
        <v>2020</v>
      </c>
      <c r="AG460" s="358"/>
      <c r="AH460" s="359"/>
      <c r="AI460" s="360"/>
      <c r="AJ460" s="360"/>
      <c r="AK460" s="360" t="str">
        <f t="shared" si="539"/>
        <v>V</v>
      </c>
      <c r="AL460" s="18"/>
      <c r="AM460" s="360" t="str">
        <f t="shared" si="540"/>
        <v>2</v>
      </c>
      <c r="AN460" s="360" t="str">
        <f t="shared" si="512"/>
        <v>1</v>
      </c>
      <c r="AO460" s="360"/>
      <c r="AP460" s="346" t="str">
        <f t="shared" si="541"/>
        <v>1</v>
      </c>
      <c r="AQ460" s="360" t="str">
        <f t="shared" si="542"/>
        <v>2.1..1</v>
      </c>
      <c r="AR460" s="530"/>
      <c r="AS460" s="362" t="s">
        <v>2392</v>
      </c>
      <c r="AT460" s="362">
        <v>992</v>
      </c>
      <c r="AU460" s="367">
        <v>1226</v>
      </c>
      <c r="AV460" s="368">
        <f>AU460/AT460</f>
        <v>1.2358870967741935</v>
      </c>
      <c r="AW460" s="367">
        <v>1129</v>
      </c>
      <c r="AX460" s="368">
        <f>AW460/AT460</f>
        <v>1.1381048387096775</v>
      </c>
      <c r="AY460" s="362" t="s">
        <v>1032</v>
      </c>
      <c r="AZ460" s="368" t="e">
        <f>AY460/AT460</f>
        <v>#VALUE!</v>
      </c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</row>
    <row r="461" spans="1:68" ht="20.25" customHeight="1">
      <c r="A461" s="100">
        <v>74</v>
      </c>
      <c r="B461" s="100" t="s">
        <v>61</v>
      </c>
      <c r="C461" s="100" t="s">
        <v>2393</v>
      </c>
      <c r="D461" s="102" t="s">
        <v>839</v>
      </c>
      <c r="E461" s="100" t="str">
        <f t="shared" si="300"/>
        <v>Sama</v>
      </c>
      <c r="F461" s="63">
        <f t="shared" si="534"/>
        <v>428</v>
      </c>
      <c r="G461" s="63">
        <v>6</v>
      </c>
      <c r="H461" s="62" t="s">
        <v>61</v>
      </c>
      <c r="I461" s="62" t="s">
        <v>839</v>
      </c>
      <c r="J461" s="66">
        <v>7738.3022160144392</v>
      </c>
      <c r="K461" s="533" t="s">
        <v>104</v>
      </c>
      <c r="L461" s="68">
        <f t="shared" si="546"/>
        <v>50318</v>
      </c>
      <c r="M461" s="63"/>
      <c r="N461" s="392">
        <f t="shared" si="535"/>
        <v>2012</v>
      </c>
      <c r="O461" s="382" t="s">
        <v>1497</v>
      </c>
      <c r="P461" s="68">
        <v>50318</v>
      </c>
      <c r="Q461" s="68">
        <v>0</v>
      </c>
      <c r="R461" s="68">
        <v>50318</v>
      </c>
      <c r="S461" s="68">
        <f t="shared" si="536"/>
        <v>50318</v>
      </c>
      <c r="T461" s="63"/>
      <c r="U461" s="347"/>
      <c r="V461" s="370"/>
      <c r="W461" s="370"/>
      <c r="X461" s="370"/>
      <c r="Y461" s="68">
        <f t="shared" si="537"/>
        <v>0</v>
      </c>
      <c r="Z461" s="345"/>
      <c r="AA461" s="347"/>
      <c r="AB461" s="345"/>
      <c r="AC461" s="345"/>
      <c r="AD461" s="345"/>
      <c r="AE461" s="68">
        <f t="shared" si="538"/>
        <v>0</v>
      </c>
      <c r="AF461" s="366" t="s">
        <v>1097</v>
      </c>
      <c r="AG461" s="358"/>
      <c r="AH461" s="359"/>
      <c r="AI461" s="360"/>
      <c r="AJ461" s="360"/>
      <c r="AK461" s="360" t="str">
        <f t="shared" si="539"/>
        <v/>
      </c>
      <c r="AL461" s="18"/>
      <c r="AM461" s="360" t="str">
        <f t="shared" si="540"/>
        <v>2</v>
      </c>
      <c r="AN461" s="360" t="str">
        <f t="shared" si="512"/>
        <v>1</v>
      </c>
      <c r="AO461" s="360"/>
      <c r="AP461" s="346" t="str">
        <f t="shared" si="541"/>
        <v>2</v>
      </c>
      <c r="AQ461" s="360" t="str">
        <f t="shared" si="542"/>
        <v>2.1..2</v>
      </c>
      <c r="AR461" s="530"/>
      <c r="AS461" s="360"/>
      <c r="AT461" s="362"/>
      <c r="AU461" s="362"/>
      <c r="AV461" s="362"/>
      <c r="AW461" s="362"/>
      <c r="AX461" s="362"/>
      <c r="AY461" s="362"/>
      <c r="AZ461" s="362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</row>
    <row r="462" spans="1:68" ht="20.25" customHeight="1">
      <c r="A462" s="100">
        <v>74</v>
      </c>
      <c r="B462" s="100" t="s">
        <v>61</v>
      </c>
      <c r="C462" s="100" t="s">
        <v>2394</v>
      </c>
      <c r="D462" s="102" t="s">
        <v>840</v>
      </c>
      <c r="E462" s="100" t="str">
        <f t="shared" si="300"/>
        <v>Sama</v>
      </c>
      <c r="F462" s="63">
        <f t="shared" si="534"/>
        <v>429</v>
      </c>
      <c r="G462" s="63">
        <v>7</v>
      </c>
      <c r="H462" s="62" t="s">
        <v>61</v>
      </c>
      <c r="I462" s="62" t="s">
        <v>840</v>
      </c>
      <c r="J462" s="66">
        <v>11244.037929703743</v>
      </c>
      <c r="K462" s="533" t="s">
        <v>104</v>
      </c>
      <c r="L462" s="68">
        <f t="shared" si="546"/>
        <v>0</v>
      </c>
      <c r="M462" s="63"/>
      <c r="N462" s="392" t="e">
        <f t="shared" si="535"/>
        <v>#VALUE!</v>
      </c>
      <c r="O462" s="382"/>
      <c r="P462" s="68"/>
      <c r="Q462" s="68"/>
      <c r="R462" s="68"/>
      <c r="S462" s="68">
        <f t="shared" si="536"/>
        <v>0</v>
      </c>
      <c r="T462" s="63"/>
      <c r="U462" s="347" t="s">
        <v>1765</v>
      </c>
      <c r="V462" s="370">
        <v>0</v>
      </c>
      <c r="W462" s="370">
        <v>0</v>
      </c>
      <c r="X462" s="370">
        <v>0</v>
      </c>
      <c r="Y462" s="68">
        <f t="shared" si="537"/>
        <v>0</v>
      </c>
      <c r="Z462" s="345"/>
      <c r="AA462" s="347"/>
      <c r="AB462" s="345"/>
      <c r="AC462" s="345"/>
      <c r="AD462" s="345"/>
      <c r="AE462" s="68">
        <f t="shared" si="538"/>
        <v>0</v>
      </c>
      <c r="AF462" s="366" t="s">
        <v>1097</v>
      </c>
      <c r="AG462" s="358"/>
      <c r="AH462" s="359"/>
      <c r="AI462" s="360"/>
      <c r="AJ462" s="360"/>
      <c r="AK462" s="360" t="str">
        <f t="shared" si="539"/>
        <v/>
      </c>
      <c r="AL462" s="18"/>
      <c r="AM462" s="360" t="e">
        <f t="shared" si="540"/>
        <v>#VALUE!</v>
      </c>
      <c r="AN462" s="360" t="str">
        <f t="shared" si="512"/>
        <v>2</v>
      </c>
      <c r="AO462" s="360"/>
      <c r="AP462" s="346" t="str">
        <f t="shared" si="541"/>
        <v>2</v>
      </c>
      <c r="AQ462" s="360" t="e">
        <f t="shared" si="542"/>
        <v>#VALUE!</v>
      </c>
      <c r="AR462" s="530"/>
      <c r="AS462" s="360"/>
      <c r="AT462" s="362"/>
      <c r="AU462" s="362"/>
      <c r="AV462" s="362"/>
      <c r="AW462" s="362"/>
      <c r="AX462" s="362"/>
      <c r="AY462" s="362"/>
      <c r="AZ462" s="362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</row>
    <row r="463" spans="1:68" ht="20.25" customHeight="1">
      <c r="A463" s="100">
        <v>74</v>
      </c>
      <c r="B463" s="100" t="s">
        <v>61</v>
      </c>
      <c r="C463" s="100" t="s">
        <v>2395</v>
      </c>
      <c r="D463" s="102" t="s">
        <v>842</v>
      </c>
      <c r="E463" s="100" t="str">
        <f t="shared" si="300"/>
        <v>Sama</v>
      </c>
      <c r="F463" s="63">
        <f t="shared" si="534"/>
        <v>430</v>
      </c>
      <c r="G463" s="63">
        <v>8</v>
      </c>
      <c r="H463" s="62" t="s">
        <v>61</v>
      </c>
      <c r="I463" s="62" t="s">
        <v>842</v>
      </c>
      <c r="J463" s="66">
        <v>1125.6082973963007</v>
      </c>
      <c r="K463" s="77" t="s">
        <v>104</v>
      </c>
      <c r="L463" s="68">
        <f t="shared" si="546"/>
        <v>9466.69</v>
      </c>
      <c r="M463" s="92"/>
      <c r="N463" s="392">
        <f t="shared" si="535"/>
        <v>2012</v>
      </c>
      <c r="O463" s="382" t="s">
        <v>843</v>
      </c>
      <c r="P463" s="68">
        <v>9466.69</v>
      </c>
      <c r="Q463" s="68">
        <v>0</v>
      </c>
      <c r="R463" s="68">
        <v>9466.69</v>
      </c>
      <c r="S463" s="68">
        <f t="shared" si="536"/>
        <v>9466.69</v>
      </c>
      <c r="T463" s="92"/>
      <c r="U463" s="347"/>
      <c r="V463" s="370"/>
      <c r="W463" s="370"/>
      <c r="X463" s="370"/>
      <c r="Y463" s="68">
        <f t="shared" si="537"/>
        <v>0</v>
      </c>
      <c r="Z463" s="345"/>
      <c r="AA463" s="347"/>
      <c r="AB463" s="345"/>
      <c r="AC463" s="345"/>
      <c r="AD463" s="345"/>
      <c r="AE463" s="68">
        <f t="shared" si="538"/>
        <v>0</v>
      </c>
      <c r="AF463" s="366" t="s">
        <v>1097</v>
      </c>
      <c r="AG463" s="358"/>
      <c r="AH463" s="359"/>
      <c r="AI463" s="360"/>
      <c r="AJ463" s="360"/>
      <c r="AK463" s="360" t="str">
        <f t="shared" si="539"/>
        <v/>
      </c>
      <c r="AL463" s="18"/>
      <c r="AM463" s="360" t="str">
        <f t="shared" si="540"/>
        <v>2</v>
      </c>
      <c r="AN463" s="360" t="str">
        <f t="shared" si="512"/>
        <v>1</v>
      </c>
      <c r="AO463" s="360"/>
      <c r="AP463" s="346" t="str">
        <f t="shared" si="541"/>
        <v>2</v>
      </c>
      <c r="AQ463" s="360" t="str">
        <f t="shared" si="542"/>
        <v>2.1..2</v>
      </c>
      <c r="AR463" s="530"/>
      <c r="AS463" s="360"/>
      <c r="AT463" s="362"/>
      <c r="AU463" s="362"/>
      <c r="AV463" s="362"/>
      <c r="AW463" s="362"/>
      <c r="AX463" s="362"/>
      <c r="AY463" s="362"/>
      <c r="AZ463" s="362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</row>
    <row r="464" spans="1:68" ht="20.25" customHeight="1">
      <c r="A464" s="100">
        <v>74</v>
      </c>
      <c r="B464" s="100" t="s">
        <v>61</v>
      </c>
      <c r="C464" s="100" t="s">
        <v>2396</v>
      </c>
      <c r="D464" s="102" t="s">
        <v>844</v>
      </c>
      <c r="E464" s="100" t="str">
        <f t="shared" si="300"/>
        <v>Sama</v>
      </c>
      <c r="F464" s="63">
        <f t="shared" si="534"/>
        <v>431</v>
      </c>
      <c r="G464" s="63">
        <v>9</v>
      </c>
      <c r="H464" s="62" t="s">
        <v>61</v>
      </c>
      <c r="I464" s="62" t="s">
        <v>844</v>
      </c>
      <c r="J464" s="66">
        <v>27250.831403265976</v>
      </c>
      <c r="K464" s="533" t="s">
        <v>661</v>
      </c>
      <c r="L464" s="68">
        <f t="shared" si="546"/>
        <v>0</v>
      </c>
      <c r="M464" s="92"/>
      <c r="N464" s="392" t="e">
        <f t="shared" si="535"/>
        <v>#VALUE!</v>
      </c>
      <c r="O464" s="382"/>
      <c r="P464" s="68"/>
      <c r="Q464" s="68"/>
      <c r="R464" s="68"/>
      <c r="S464" s="68">
        <f t="shared" si="536"/>
        <v>0</v>
      </c>
      <c r="T464" s="92"/>
      <c r="U464" s="347"/>
      <c r="V464" s="370"/>
      <c r="W464" s="370"/>
      <c r="X464" s="370"/>
      <c r="Y464" s="68">
        <f t="shared" si="537"/>
        <v>0</v>
      </c>
      <c r="Z464" s="345"/>
      <c r="AA464" s="347"/>
      <c r="AB464" s="345"/>
      <c r="AC464" s="345"/>
      <c r="AD464" s="345"/>
      <c r="AE464" s="68">
        <f t="shared" si="538"/>
        <v>0</v>
      </c>
      <c r="AF464" s="366">
        <v>2023</v>
      </c>
      <c r="AG464" s="358" t="s">
        <v>1160</v>
      </c>
      <c r="AH464" s="359"/>
      <c r="AI464" s="360"/>
      <c r="AJ464" s="360"/>
      <c r="AK464" s="360" t="str">
        <f t="shared" si="539"/>
        <v/>
      </c>
      <c r="AL464" s="18"/>
      <c r="AM464" s="360" t="e">
        <f t="shared" si="540"/>
        <v>#VALUE!</v>
      </c>
      <c r="AN464" s="360" t="str">
        <f t="shared" si="512"/>
        <v>2</v>
      </c>
      <c r="AO464" s="360"/>
      <c r="AP464" s="346" t="str">
        <f t="shared" si="541"/>
        <v>2</v>
      </c>
      <c r="AQ464" s="360" t="e">
        <f t="shared" si="542"/>
        <v>#VALUE!</v>
      </c>
      <c r="AR464" s="530"/>
      <c r="AS464" s="360"/>
      <c r="AT464" s="362"/>
      <c r="AU464" s="362"/>
      <c r="AV464" s="362"/>
      <c r="AW464" s="362"/>
      <c r="AX464" s="362"/>
      <c r="AY464" s="362"/>
      <c r="AZ464" s="362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</row>
    <row r="465" spans="1:68" ht="20.25" customHeight="1">
      <c r="A465" s="100">
        <v>74</v>
      </c>
      <c r="B465" s="100" t="s">
        <v>61</v>
      </c>
      <c r="C465" s="100" t="s">
        <v>2397</v>
      </c>
      <c r="D465" s="102" t="s">
        <v>846</v>
      </c>
      <c r="E465" s="100" t="str">
        <f t="shared" si="300"/>
        <v>Sama</v>
      </c>
      <c r="F465" s="63">
        <f t="shared" si="534"/>
        <v>432</v>
      </c>
      <c r="G465" s="63">
        <v>10</v>
      </c>
      <c r="H465" s="62" t="s">
        <v>61</v>
      </c>
      <c r="I465" s="62" t="s">
        <v>846</v>
      </c>
      <c r="J465" s="66">
        <v>252.47201489846401</v>
      </c>
      <c r="K465" s="533" t="s">
        <v>104</v>
      </c>
      <c r="L465" s="68">
        <f t="shared" si="546"/>
        <v>1909</v>
      </c>
      <c r="M465" s="63"/>
      <c r="N465" s="365">
        <f t="shared" si="535"/>
        <v>2021</v>
      </c>
      <c r="O465" s="347" t="s">
        <v>243</v>
      </c>
      <c r="P465" s="370">
        <v>0</v>
      </c>
      <c r="Q465" s="370">
        <v>0</v>
      </c>
      <c r="R465" s="370">
        <v>1909</v>
      </c>
      <c r="S465" s="68">
        <f t="shared" si="536"/>
        <v>1909</v>
      </c>
      <c r="T465" s="63"/>
      <c r="U465" s="347"/>
      <c r="V465" s="370"/>
      <c r="W465" s="370"/>
      <c r="X465" s="370"/>
      <c r="Y465" s="68">
        <f t="shared" si="537"/>
        <v>0</v>
      </c>
      <c r="Z465" s="345"/>
      <c r="AA465" s="347"/>
      <c r="AB465" s="345"/>
      <c r="AC465" s="345"/>
      <c r="AD465" s="345"/>
      <c r="AE465" s="68">
        <f t="shared" si="538"/>
        <v>0</v>
      </c>
      <c r="AF465" s="366" t="s">
        <v>1097</v>
      </c>
      <c r="AG465" s="358"/>
      <c r="AH465" s="359"/>
      <c r="AI465" s="360"/>
      <c r="AJ465" s="360"/>
      <c r="AK465" s="360" t="str">
        <f t="shared" si="539"/>
        <v/>
      </c>
      <c r="AL465" s="18"/>
      <c r="AM465" s="360" t="str">
        <f t="shared" si="540"/>
        <v>1</v>
      </c>
      <c r="AN465" s="360" t="str">
        <f t="shared" si="512"/>
        <v>1</v>
      </c>
      <c r="AO465" s="360"/>
      <c r="AP465" s="346" t="str">
        <f t="shared" si="541"/>
        <v>2</v>
      </c>
      <c r="AQ465" s="360" t="str">
        <f t="shared" si="542"/>
        <v>1.1..2</v>
      </c>
      <c r="AR465" s="530"/>
      <c r="AS465" s="360"/>
      <c r="AT465" s="362"/>
      <c r="AU465" s="362"/>
      <c r="AV465" s="362"/>
      <c r="AW465" s="362"/>
      <c r="AX465" s="362"/>
      <c r="AY465" s="362"/>
      <c r="AZ465" s="362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</row>
    <row r="466" spans="1:68" ht="20.25" customHeight="1">
      <c r="A466" s="100">
        <v>74</v>
      </c>
      <c r="B466" s="100" t="s">
        <v>61</v>
      </c>
      <c r="C466" s="100" t="s">
        <v>2398</v>
      </c>
      <c r="D466" s="102" t="s">
        <v>847</v>
      </c>
      <c r="E466" s="100" t="str">
        <f t="shared" si="300"/>
        <v>Sama</v>
      </c>
      <c r="F466" s="63">
        <f t="shared" si="534"/>
        <v>433</v>
      </c>
      <c r="G466" s="63">
        <v>11</v>
      </c>
      <c r="H466" s="62" t="s">
        <v>61</v>
      </c>
      <c r="I466" s="62" t="s">
        <v>847</v>
      </c>
      <c r="J466" s="66">
        <v>16782.309326846615</v>
      </c>
      <c r="K466" s="533" t="s">
        <v>91</v>
      </c>
      <c r="L466" s="68">
        <f t="shared" si="546"/>
        <v>27707</v>
      </c>
      <c r="M466" s="63" t="s">
        <v>1076</v>
      </c>
      <c r="N466" s="365">
        <f t="shared" si="535"/>
        <v>2020</v>
      </c>
      <c r="O466" s="347" t="s">
        <v>848</v>
      </c>
      <c r="P466" s="370">
        <v>0</v>
      </c>
      <c r="Q466" s="370">
        <v>0</v>
      </c>
      <c r="R466" s="370">
        <v>27707</v>
      </c>
      <c r="S466" s="68">
        <f t="shared" si="536"/>
        <v>27707</v>
      </c>
      <c r="T466" s="63"/>
      <c r="U466" s="385" t="s">
        <v>234</v>
      </c>
      <c r="V466" s="370">
        <v>0</v>
      </c>
      <c r="W466" s="370">
        <v>0</v>
      </c>
      <c r="X466" s="370">
        <v>0</v>
      </c>
      <c r="Y466" s="68">
        <f t="shared" si="537"/>
        <v>0</v>
      </c>
      <c r="Z466" s="345"/>
      <c r="AA466" s="385"/>
      <c r="AB466" s="345"/>
      <c r="AC466" s="345"/>
      <c r="AD466" s="345"/>
      <c r="AE466" s="68">
        <f t="shared" si="538"/>
        <v>0</v>
      </c>
      <c r="AF466" s="366">
        <v>2020</v>
      </c>
      <c r="AG466" s="358"/>
      <c r="AH466" s="359"/>
      <c r="AI466" s="360"/>
      <c r="AJ466" s="360"/>
      <c r="AK466" s="360" t="str">
        <f t="shared" si="539"/>
        <v>V</v>
      </c>
      <c r="AL466" s="18"/>
      <c r="AM466" s="360" t="str">
        <f t="shared" si="540"/>
        <v>1</v>
      </c>
      <c r="AN466" s="360" t="str">
        <f t="shared" si="512"/>
        <v>1</v>
      </c>
      <c r="AO466" s="360"/>
      <c r="AP466" s="346" t="str">
        <f t="shared" si="541"/>
        <v>2</v>
      </c>
      <c r="AQ466" s="360" t="str">
        <f t="shared" si="542"/>
        <v>1.1..2</v>
      </c>
      <c r="AR466" s="530"/>
      <c r="AS466" s="362" t="s">
        <v>155</v>
      </c>
      <c r="AT466" s="367">
        <v>16557</v>
      </c>
      <c r="AU466" s="367">
        <v>27725</v>
      </c>
      <c r="AV466" s="368">
        <f>AU466/AT466</f>
        <v>1.6745183306154496</v>
      </c>
      <c r="AW466" s="367">
        <v>11873</v>
      </c>
      <c r="AX466" s="368">
        <f>AW466/AT466</f>
        <v>0.71709850818384968</v>
      </c>
      <c r="AY466" s="367">
        <v>4684</v>
      </c>
      <c r="AZ466" s="368">
        <f>AY466/AT466</f>
        <v>0.28290149181615026</v>
      </c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</row>
    <row r="467" spans="1:68" ht="20.25" customHeight="1">
      <c r="A467" s="100">
        <v>74</v>
      </c>
      <c r="B467" s="100" t="s">
        <v>61</v>
      </c>
      <c r="C467" s="100" t="s">
        <v>2399</v>
      </c>
      <c r="D467" s="102" t="s">
        <v>849</v>
      </c>
      <c r="E467" s="100" t="str">
        <f t="shared" si="300"/>
        <v>Sama</v>
      </c>
      <c r="F467" s="63">
        <f t="shared" si="534"/>
        <v>434</v>
      </c>
      <c r="G467" s="63">
        <v>12</v>
      </c>
      <c r="H467" s="62" t="s">
        <v>61</v>
      </c>
      <c r="I467" s="62" t="s">
        <v>849</v>
      </c>
      <c r="J467" s="66">
        <v>1673.191647782696</v>
      </c>
      <c r="K467" s="533" t="s">
        <v>661</v>
      </c>
      <c r="L467" s="68">
        <f t="shared" si="546"/>
        <v>0</v>
      </c>
      <c r="M467" s="63"/>
      <c r="N467" s="365" t="e">
        <f t="shared" si="535"/>
        <v>#VALUE!</v>
      </c>
      <c r="O467" s="347"/>
      <c r="P467" s="370"/>
      <c r="Q467" s="370"/>
      <c r="R467" s="370"/>
      <c r="S467" s="68">
        <f t="shared" si="536"/>
        <v>0</v>
      </c>
      <c r="T467" s="63"/>
      <c r="U467" s="385"/>
      <c r="V467" s="370"/>
      <c r="W467" s="370"/>
      <c r="X467" s="370"/>
      <c r="Y467" s="68">
        <f t="shared" si="537"/>
        <v>0</v>
      </c>
      <c r="Z467" s="345"/>
      <c r="AA467" s="385"/>
      <c r="AB467" s="345"/>
      <c r="AC467" s="345"/>
      <c r="AD467" s="345"/>
      <c r="AE467" s="68">
        <f t="shared" si="538"/>
        <v>0</v>
      </c>
      <c r="AF467" s="366" t="s">
        <v>1097</v>
      </c>
      <c r="AG467" s="358"/>
      <c r="AH467" s="359"/>
      <c r="AI467" s="360"/>
      <c r="AJ467" s="360"/>
      <c r="AK467" s="360" t="str">
        <f t="shared" si="539"/>
        <v/>
      </c>
      <c r="AL467" s="18"/>
      <c r="AM467" s="360" t="e">
        <f t="shared" si="540"/>
        <v>#VALUE!</v>
      </c>
      <c r="AN467" s="360" t="str">
        <f t="shared" si="512"/>
        <v>2</v>
      </c>
      <c r="AO467" s="360"/>
      <c r="AP467" s="346" t="str">
        <f t="shared" si="541"/>
        <v>2</v>
      </c>
      <c r="AQ467" s="360" t="e">
        <f t="shared" si="542"/>
        <v>#VALUE!</v>
      </c>
      <c r="AR467" s="530"/>
      <c r="AS467" s="360"/>
      <c r="AT467" s="362"/>
      <c r="AU467" s="362"/>
      <c r="AV467" s="362"/>
      <c r="AW467" s="362"/>
      <c r="AX467" s="362"/>
      <c r="AY467" s="362"/>
      <c r="AZ467" s="362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</row>
    <row r="468" spans="1:68" ht="20.25" customHeight="1">
      <c r="A468" s="100">
        <v>74</v>
      </c>
      <c r="B468" s="100" t="s">
        <v>61</v>
      </c>
      <c r="C468" s="100" t="s">
        <v>2400</v>
      </c>
      <c r="D468" s="102" t="s">
        <v>2401</v>
      </c>
      <c r="E468" s="100" t="str">
        <f t="shared" si="300"/>
        <v>Sama</v>
      </c>
      <c r="F468" s="63">
        <f t="shared" si="534"/>
        <v>435</v>
      </c>
      <c r="G468" s="63">
        <v>13</v>
      </c>
      <c r="H468" s="62" t="s">
        <v>61</v>
      </c>
      <c r="I468" s="62" t="s">
        <v>2401</v>
      </c>
      <c r="J468" s="66">
        <v>1365.5865624316141</v>
      </c>
      <c r="K468" s="533" t="s">
        <v>104</v>
      </c>
      <c r="L468" s="68">
        <f t="shared" si="546"/>
        <v>5500</v>
      </c>
      <c r="M468" s="63"/>
      <c r="N468" s="392">
        <f t="shared" si="535"/>
        <v>2012</v>
      </c>
      <c r="O468" s="382" t="s">
        <v>850</v>
      </c>
      <c r="P468" s="68">
        <v>5500</v>
      </c>
      <c r="Q468" s="68">
        <v>0</v>
      </c>
      <c r="R468" s="68">
        <v>5500</v>
      </c>
      <c r="S468" s="68">
        <f t="shared" si="536"/>
        <v>5500</v>
      </c>
      <c r="T468" s="63"/>
      <c r="U468" s="347"/>
      <c r="V468" s="370"/>
      <c r="W468" s="370"/>
      <c r="X468" s="370"/>
      <c r="Y468" s="68">
        <f t="shared" si="537"/>
        <v>0</v>
      </c>
      <c r="Z468" s="345"/>
      <c r="AA468" s="347"/>
      <c r="AB468" s="345"/>
      <c r="AC468" s="345"/>
      <c r="AD468" s="345"/>
      <c r="AE468" s="68">
        <f t="shared" si="538"/>
        <v>0</v>
      </c>
      <c r="AF468" s="366" t="s">
        <v>1097</v>
      </c>
      <c r="AG468" s="358"/>
      <c r="AH468" s="359"/>
      <c r="AI468" s="360"/>
      <c r="AJ468" s="360"/>
      <c r="AK468" s="360" t="str">
        <f t="shared" si="539"/>
        <v/>
      </c>
      <c r="AL468" s="18"/>
      <c r="AM468" s="360" t="str">
        <f t="shared" si="540"/>
        <v>2</v>
      </c>
      <c r="AN468" s="360" t="str">
        <f t="shared" si="512"/>
        <v>1</v>
      </c>
      <c r="AO468" s="360"/>
      <c r="AP468" s="346" t="str">
        <f t="shared" si="541"/>
        <v>2</v>
      </c>
      <c r="AQ468" s="360" t="str">
        <f t="shared" si="542"/>
        <v>2.1..2</v>
      </c>
      <c r="AR468" s="530"/>
      <c r="AS468" s="360"/>
      <c r="AT468" s="362"/>
      <c r="AU468" s="362"/>
      <c r="AV468" s="362"/>
      <c r="AW468" s="362"/>
      <c r="AX468" s="362"/>
      <c r="AY468" s="362"/>
      <c r="AZ468" s="362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</row>
    <row r="469" spans="1:68" ht="20.25" customHeight="1">
      <c r="A469" s="100">
        <v>74</v>
      </c>
      <c r="B469" s="100" t="s">
        <v>61</v>
      </c>
      <c r="C469" s="100" t="s">
        <v>2402</v>
      </c>
      <c r="D469" s="102" t="s">
        <v>852</v>
      </c>
      <c r="E469" s="100" t="str">
        <f t="shared" si="300"/>
        <v>Sama</v>
      </c>
      <c r="F469" s="63">
        <f t="shared" si="534"/>
        <v>436</v>
      </c>
      <c r="G469" s="63">
        <v>14</v>
      </c>
      <c r="H469" s="62" t="s">
        <v>61</v>
      </c>
      <c r="I469" s="62" t="s">
        <v>852</v>
      </c>
      <c r="J469" s="66">
        <v>238.27634132646998</v>
      </c>
      <c r="K469" s="533" t="s">
        <v>104</v>
      </c>
      <c r="L469" s="68">
        <f t="shared" si="546"/>
        <v>0</v>
      </c>
      <c r="M469" s="63"/>
      <c r="N469" s="392" t="e">
        <f t="shared" si="535"/>
        <v>#VALUE!</v>
      </c>
      <c r="O469" s="382"/>
      <c r="P469" s="68"/>
      <c r="Q469" s="68"/>
      <c r="R469" s="68"/>
      <c r="S469" s="68">
        <f t="shared" si="536"/>
        <v>0</v>
      </c>
      <c r="T469" s="63"/>
      <c r="U469" s="347" t="s">
        <v>1740</v>
      </c>
      <c r="V469" s="370">
        <v>0</v>
      </c>
      <c r="W469" s="370">
        <v>0</v>
      </c>
      <c r="X469" s="370">
        <v>0</v>
      </c>
      <c r="Y469" s="68">
        <f t="shared" si="537"/>
        <v>0</v>
      </c>
      <c r="Z469" s="345"/>
      <c r="AA469" s="347"/>
      <c r="AB469" s="345"/>
      <c r="AC469" s="345"/>
      <c r="AD469" s="345"/>
      <c r="AE469" s="68">
        <f t="shared" si="538"/>
        <v>0</v>
      </c>
      <c r="AF469" s="366" t="s">
        <v>1097</v>
      </c>
      <c r="AG469" s="358"/>
      <c r="AH469" s="359"/>
      <c r="AI469" s="360"/>
      <c r="AJ469" s="360"/>
      <c r="AK469" s="360" t="str">
        <f t="shared" si="539"/>
        <v/>
      </c>
      <c r="AL469" s="18"/>
      <c r="AM469" s="360" t="e">
        <f t="shared" si="540"/>
        <v>#VALUE!</v>
      </c>
      <c r="AN469" s="360" t="str">
        <f t="shared" si="512"/>
        <v>2</v>
      </c>
      <c r="AO469" s="360"/>
      <c r="AP469" s="346" t="str">
        <f t="shared" si="541"/>
        <v>2</v>
      </c>
      <c r="AQ469" s="360" t="e">
        <f t="shared" si="542"/>
        <v>#VALUE!</v>
      </c>
      <c r="AR469" s="530"/>
      <c r="AS469" s="360"/>
      <c r="AT469" s="362"/>
      <c r="AU469" s="362"/>
      <c r="AV469" s="362"/>
      <c r="AW469" s="362"/>
      <c r="AX469" s="362"/>
      <c r="AY469" s="362"/>
      <c r="AZ469" s="362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</row>
    <row r="470" spans="1:68" ht="20.25" customHeight="1">
      <c r="A470" s="100">
        <v>74</v>
      </c>
      <c r="B470" s="100" t="s">
        <v>61</v>
      </c>
      <c r="C470" s="100" t="s">
        <v>2403</v>
      </c>
      <c r="D470" s="102" t="s">
        <v>853</v>
      </c>
      <c r="E470" s="100" t="str">
        <f t="shared" si="300"/>
        <v>Sama</v>
      </c>
      <c r="F470" s="63">
        <f t="shared" si="534"/>
        <v>437</v>
      </c>
      <c r="G470" s="63">
        <v>15</v>
      </c>
      <c r="H470" s="62" t="s">
        <v>61</v>
      </c>
      <c r="I470" s="62" t="s">
        <v>853</v>
      </c>
      <c r="J470" s="66">
        <v>822.96237332782914</v>
      </c>
      <c r="K470" s="533" t="s">
        <v>91</v>
      </c>
      <c r="L470" s="68">
        <f t="shared" si="546"/>
        <v>9881.5400000000009</v>
      </c>
      <c r="M470" s="63"/>
      <c r="N470" s="392" t="e">
        <f t="shared" si="535"/>
        <v>#VALUE!</v>
      </c>
      <c r="O470" s="382"/>
      <c r="P470" s="68"/>
      <c r="Q470" s="68"/>
      <c r="R470" s="68"/>
      <c r="S470" s="68">
        <f t="shared" si="536"/>
        <v>0</v>
      </c>
      <c r="T470" s="63"/>
      <c r="U470" s="347" t="s">
        <v>854</v>
      </c>
      <c r="V470" s="370">
        <v>9881.5400000000009</v>
      </c>
      <c r="W470" s="370">
        <v>0</v>
      </c>
      <c r="X470" s="370">
        <v>9881.5400000000009</v>
      </c>
      <c r="Y470" s="68">
        <f t="shared" si="537"/>
        <v>9881.5400000000009</v>
      </c>
      <c r="Z470" s="345" t="s">
        <v>1076</v>
      </c>
      <c r="AA470" s="347" t="s">
        <v>854</v>
      </c>
      <c r="AB470" s="345">
        <v>9881.5400000000009</v>
      </c>
      <c r="AC470" s="345">
        <v>0</v>
      </c>
      <c r="AD470" s="345">
        <v>9881.5400000000009</v>
      </c>
      <c r="AE470" s="68">
        <f t="shared" si="538"/>
        <v>9881.5400000000009</v>
      </c>
      <c r="AF470" s="366" t="s">
        <v>1097</v>
      </c>
      <c r="AG470" s="358"/>
      <c r="AH470" s="359"/>
      <c r="AI470" s="360"/>
      <c r="AJ470" s="360"/>
      <c r="AK470" s="360" t="str">
        <f t="shared" si="539"/>
        <v>V</v>
      </c>
      <c r="AL470" s="18"/>
      <c r="AM470" s="360" t="e">
        <f t="shared" si="540"/>
        <v>#VALUE!</v>
      </c>
      <c r="AN470" s="360" t="str">
        <f t="shared" si="512"/>
        <v>2</v>
      </c>
      <c r="AO470" s="360"/>
      <c r="AP470" s="346" t="str">
        <f t="shared" si="541"/>
        <v>1</v>
      </c>
      <c r="AQ470" s="360" t="e">
        <f t="shared" si="542"/>
        <v>#VALUE!</v>
      </c>
      <c r="AR470" s="530"/>
      <c r="AS470" s="362" t="s">
        <v>854</v>
      </c>
      <c r="AT470" s="362">
        <v>823</v>
      </c>
      <c r="AU470" s="367">
        <v>9874</v>
      </c>
      <c r="AV470" s="368">
        <f>AU470/AT470</f>
        <v>11.99756986634265</v>
      </c>
      <c r="AW470" s="362">
        <v>823</v>
      </c>
      <c r="AX470" s="368">
        <f>AW470/AT470</f>
        <v>1</v>
      </c>
      <c r="AY470" s="362" t="s">
        <v>1032</v>
      </c>
      <c r="AZ470" s="368" t="e">
        <f>AY470/AT470</f>
        <v>#VALUE!</v>
      </c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</row>
    <row r="471" spans="1:68" ht="20.25" customHeight="1">
      <c r="A471" s="100">
        <v>74</v>
      </c>
      <c r="B471" s="100" t="s">
        <v>61</v>
      </c>
      <c r="C471" s="100" t="s">
        <v>2404</v>
      </c>
      <c r="D471" s="102" t="s">
        <v>855</v>
      </c>
      <c r="E471" s="100" t="str">
        <f t="shared" si="300"/>
        <v>Sama</v>
      </c>
      <c r="F471" s="63">
        <f t="shared" si="534"/>
        <v>438</v>
      </c>
      <c r="G471" s="63">
        <v>16</v>
      </c>
      <c r="H471" s="62" t="s">
        <v>61</v>
      </c>
      <c r="I471" s="62" t="s">
        <v>855</v>
      </c>
      <c r="J471" s="66">
        <v>1217.9298030451835</v>
      </c>
      <c r="K471" s="533" t="s">
        <v>104</v>
      </c>
      <c r="L471" s="68">
        <f t="shared" si="546"/>
        <v>1587</v>
      </c>
      <c r="M471" s="63"/>
      <c r="N471" s="365">
        <f t="shared" si="535"/>
        <v>2020</v>
      </c>
      <c r="O471" s="347" t="s">
        <v>478</v>
      </c>
      <c r="P471" s="370">
        <v>0</v>
      </c>
      <c r="Q471" s="370">
        <v>0</v>
      </c>
      <c r="R471" s="370">
        <v>1587</v>
      </c>
      <c r="S471" s="68">
        <f t="shared" si="536"/>
        <v>1587</v>
      </c>
      <c r="T471" s="63"/>
      <c r="U471" s="347"/>
      <c r="V471" s="370"/>
      <c r="W471" s="370"/>
      <c r="X471" s="370"/>
      <c r="Y471" s="68">
        <f t="shared" si="537"/>
        <v>0</v>
      </c>
      <c r="Z471" s="345"/>
      <c r="AA471" s="347"/>
      <c r="AB471" s="345"/>
      <c r="AC471" s="345"/>
      <c r="AD471" s="345"/>
      <c r="AE471" s="68">
        <f t="shared" si="538"/>
        <v>0</v>
      </c>
      <c r="AF471" s="366">
        <v>2020</v>
      </c>
      <c r="AG471" s="358"/>
      <c r="AH471" s="359"/>
      <c r="AI471" s="360"/>
      <c r="AJ471" s="360"/>
      <c r="AK471" s="360" t="str">
        <f t="shared" si="539"/>
        <v/>
      </c>
      <c r="AL471" s="18"/>
      <c r="AM471" s="360" t="str">
        <f t="shared" si="540"/>
        <v>1</v>
      </c>
      <c r="AN471" s="360" t="str">
        <f t="shared" si="512"/>
        <v>1</v>
      </c>
      <c r="AO471" s="360"/>
      <c r="AP471" s="346" t="str">
        <f t="shared" si="541"/>
        <v>2</v>
      </c>
      <c r="AQ471" s="360" t="str">
        <f t="shared" si="542"/>
        <v>1.1..2</v>
      </c>
      <c r="AR471" s="530"/>
      <c r="AS471" s="360"/>
      <c r="AT471" s="362"/>
      <c r="AU471" s="362"/>
      <c r="AV471" s="362"/>
      <c r="AW471" s="362"/>
      <c r="AX471" s="362"/>
      <c r="AY471" s="362"/>
      <c r="AZ471" s="362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</row>
    <row r="472" spans="1:68" ht="20.25" customHeight="1">
      <c r="A472" s="100">
        <v>74</v>
      </c>
      <c r="B472" s="100" t="s">
        <v>61</v>
      </c>
      <c r="C472" s="100" t="s">
        <v>2405</v>
      </c>
      <c r="D472" s="102" t="s">
        <v>856</v>
      </c>
      <c r="E472" s="100" t="str">
        <f t="shared" si="300"/>
        <v>Sama</v>
      </c>
      <c r="F472" s="63">
        <f t="shared" si="534"/>
        <v>439</v>
      </c>
      <c r="G472" s="63">
        <v>17</v>
      </c>
      <c r="H472" s="62" t="s">
        <v>61</v>
      </c>
      <c r="I472" s="62" t="s">
        <v>856</v>
      </c>
      <c r="J472" s="66">
        <v>0</v>
      </c>
      <c r="K472" s="533" t="s">
        <v>104</v>
      </c>
      <c r="L472" s="68">
        <f t="shared" si="546"/>
        <v>16377</v>
      </c>
      <c r="M472" s="63"/>
      <c r="N472" s="392">
        <f t="shared" si="535"/>
        <v>2012</v>
      </c>
      <c r="O472" s="382" t="s">
        <v>682</v>
      </c>
      <c r="P472" s="68">
        <v>16377.76</v>
      </c>
      <c r="Q472" s="68">
        <v>0</v>
      </c>
      <c r="R472" s="68">
        <v>16377</v>
      </c>
      <c r="S472" s="68">
        <f t="shared" si="536"/>
        <v>16377</v>
      </c>
      <c r="T472" s="63"/>
      <c r="U472" s="347"/>
      <c r="V472" s="370"/>
      <c r="W472" s="370"/>
      <c r="X472" s="370"/>
      <c r="Y472" s="68">
        <f t="shared" si="537"/>
        <v>0</v>
      </c>
      <c r="Z472" s="345"/>
      <c r="AA472" s="347"/>
      <c r="AB472" s="345"/>
      <c r="AC472" s="345"/>
      <c r="AD472" s="345"/>
      <c r="AE472" s="68">
        <f t="shared" si="538"/>
        <v>0</v>
      </c>
      <c r="AF472" s="366" t="s">
        <v>1097</v>
      </c>
      <c r="AG472" s="358"/>
      <c r="AH472" s="359"/>
      <c r="AI472" s="360"/>
      <c r="AJ472" s="360"/>
      <c r="AK472" s="360" t="str">
        <f t="shared" si="539"/>
        <v/>
      </c>
      <c r="AL472" s="18"/>
      <c r="AM472" s="360" t="str">
        <f t="shared" si="540"/>
        <v>2</v>
      </c>
      <c r="AN472" s="360" t="str">
        <f t="shared" si="512"/>
        <v>1</v>
      </c>
      <c r="AO472" s="360"/>
      <c r="AP472" s="346" t="str">
        <f t="shared" si="541"/>
        <v>2</v>
      </c>
      <c r="AQ472" s="360" t="str">
        <f t="shared" si="542"/>
        <v>2.1..2</v>
      </c>
      <c r="AR472" s="530"/>
      <c r="AS472" s="360"/>
      <c r="AT472" s="362"/>
      <c r="AU472" s="362"/>
      <c r="AV472" s="362"/>
      <c r="AW472" s="362"/>
      <c r="AX472" s="362"/>
      <c r="AY472" s="362"/>
      <c r="AZ472" s="362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</row>
    <row r="473" spans="1:68" ht="20.25" customHeight="1">
      <c r="A473" s="100">
        <v>75</v>
      </c>
      <c r="B473" s="100" t="s">
        <v>62</v>
      </c>
      <c r="C473" s="100">
        <v>75</v>
      </c>
      <c r="D473" s="102" t="s">
        <v>2406</v>
      </c>
      <c r="E473" s="100" t="str">
        <f t="shared" si="300"/>
        <v>Sama</v>
      </c>
      <c r="F473" s="63"/>
      <c r="G473" s="341"/>
      <c r="H473" s="379"/>
      <c r="I473" s="379" t="s">
        <v>2406</v>
      </c>
      <c r="J473" s="380">
        <f>SUM(J474:J479)</f>
        <v>33055.894263852882</v>
      </c>
      <c r="K473" s="353">
        <f>COUNTIF(K474:K479,"D") + COUNTIF(K474:K479,"DS")</f>
        <v>5</v>
      </c>
      <c r="L473" s="383">
        <f>SUBTOTAL(9,L474:L479)</f>
        <v>14145</v>
      </c>
      <c r="M473" s="342"/>
      <c r="N473" s="355"/>
      <c r="O473" s="356"/>
      <c r="P473" s="383">
        <f t="shared" ref="P473:S473" si="547">SUBTOTAL(9,P475:P479)</f>
        <v>5600</v>
      </c>
      <c r="Q473" s="383">
        <f t="shared" si="547"/>
        <v>0</v>
      </c>
      <c r="R473" s="383">
        <f t="shared" si="547"/>
        <v>9406</v>
      </c>
      <c r="S473" s="383">
        <f t="shared" si="547"/>
        <v>9406</v>
      </c>
      <c r="T473" s="342"/>
      <c r="U473" s="351"/>
      <c r="V473" s="384">
        <v>6785</v>
      </c>
      <c r="W473" s="384">
        <v>0</v>
      </c>
      <c r="X473" s="384">
        <v>2046</v>
      </c>
      <c r="Y473" s="383">
        <f>SUBTOTAL(9,Y475:Y479)</f>
        <v>6785</v>
      </c>
      <c r="Z473" s="337"/>
      <c r="AA473" s="351"/>
      <c r="AB473" s="337">
        <v>6785</v>
      </c>
      <c r="AC473" s="337">
        <v>0</v>
      </c>
      <c r="AD473" s="337">
        <v>2046</v>
      </c>
      <c r="AE473" s="383">
        <f>SUBTOTAL(9,AE475:AE479)</f>
        <v>0</v>
      </c>
      <c r="AF473" s="357" t="s">
        <v>1138</v>
      </c>
      <c r="AG473" s="358"/>
      <c r="AH473" s="359"/>
      <c r="AI473" s="360"/>
      <c r="AJ473" s="360"/>
      <c r="AK473" s="361">
        <f>COUNTIF(AK474:AK479,"V") + COUNTIF(AK474:AK479,"VV") + COUNTIF(AK474:AK479,"VVV")</f>
        <v>2</v>
      </c>
      <c r="AL473" s="18"/>
      <c r="AM473" s="360"/>
      <c r="AN473" s="360" t="str">
        <f t="shared" si="512"/>
        <v>1</v>
      </c>
      <c r="AO473" s="360"/>
      <c r="AP473" s="346"/>
      <c r="AQ473" s="360" t="str">
        <f t="shared" si="542"/>
        <v>.1..</v>
      </c>
      <c r="AR473" s="530"/>
      <c r="AS473" s="360"/>
      <c r="AT473" s="362"/>
      <c r="AU473" s="362"/>
      <c r="AV473" s="362"/>
      <c r="AW473" s="362"/>
      <c r="AX473" s="362"/>
      <c r="AY473" s="362"/>
      <c r="AZ473" s="362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</row>
    <row r="474" spans="1:68" ht="20.25" customHeight="1">
      <c r="A474" s="100">
        <v>75</v>
      </c>
      <c r="B474" s="100" t="s">
        <v>62</v>
      </c>
      <c r="C474" s="100" t="s">
        <v>2407</v>
      </c>
      <c r="D474" s="102" t="s">
        <v>857</v>
      </c>
      <c r="E474" s="100" t="str">
        <f t="shared" si="300"/>
        <v>Sama</v>
      </c>
      <c r="F474" s="63">
        <f t="shared" ref="F474:F479" si="548">SUBTOTAL(3,$G$7:G474)</f>
        <v>440</v>
      </c>
      <c r="G474" s="63">
        <v>1</v>
      </c>
      <c r="H474" s="64" t="s">
        <v>62</v>
      </c>
      <c r="I474" s="64" t="s">
        <v>857</v>
      </c>
      <c r="J474" s="84">
        <v>4940.0563431770888</v>
      </c>
      <c r="K474" s="533" t="s">
        <v>661</v>
      </c>
      <c r="L474" s="68">
        <f t="shared" ref="L474:L479" si="549">IF(S474&gt;0,S474,IF(Y474&gt;0,Y474,IF(AE474&gt;0,AE474,0)))</f>
        <v>0</v>
      </c>
      <c r="M474" s="387"/>
      <c r="N474" s="427" t="e">
        <f t="shared" ref="N474:N479" si="550">VALUE(RIGHT(O474,4))</f>
        <v>#VALUE!</v>
      </c>
      <c r="O474" s="428"/>
      <c r="P474" s="388"/>
      <c r="Q474" s="388"/>
      <c r="R474" s="388"/>
      <c r="S474" s="68">
        <f t="shared" ref="S474:S479" si="551">IF(R474&gt;0,R474,IF(P474&gt;0,P474,0))</f>
        <v>0</v>
      </c>
      <c r="T474" s="387"/>
      <c r="U474" s="389"/>
      <c r="V474" s="390"/>
      <c r="W474" s="390"/>
      <c r="X474" s="390"/>
      <c r="Y474" s="68">
        <f t="shared" ref="Y474:Y479" si="552">IF(X474&gt;0,X474,IF(V474&gt;0,V474,0))</f>
        <v>0</v>
      </c>
      <c r="Z474" s="391"/>
      <c r="AA474" s="389"/>
      <c r="AB474" s="391"/>
      <c r="AC474" s="391"/>
      <c r="AD474" s="391"/>
      <c r="AE474" s="68">
        <f t="shared" ref="AE474:AE479" si="553">IF(AD474&gt;0,AD474,IF(AB474&gt;0,AB474,0))</f>
        <v>0</v>
      </c>
      <c r="AF474" s="366" t="s">
        <v>1464</v>
      </c>
      <c r="AG474" s="358"/>
      <c r="AH474" s="359"/>
      <c r="AI474" s="360"/>
      <c r="AJ474" s="360"/>
      <c r="AK474" s="360" t="str">
        <f t="shared" ref="AK474:AK479" si="554">CONCATENATE(M474,T474,Z474)</f>
        <v/>
      </c>
      <c r="AL474" s="18"/>
      <c r="AM474" s="360" t="e">
        <f t="shared" ref="AM474:AM479" si="555">IF(N474=0,"3",IF(N474&lt;=2018,"2","1"))</f>
        <v>#VALUE!</v>
      </c>
      <c r="AN474" s="360" t="str">
        <f t="shared" si="512"/>
        <v>2</v>
      </c>
      <c r="AO474" s="360"/>
      <c r="AP474" s="346" t="str">
        <f t="shared" ref="AP474:AP479" si="556">IF(Y474&gt;0,"1",IF(AE474&gt;0,"1","2"))</f>
        <v>2</v>
      </c>
      <c r="AQ474" s="360" t="e">
        <f t="shared" si="542"/>
        <v>#VALUE!</v>
      </c>
      <c r="AR474" s="530"/>
      <c r="AS474" s="360"/>
      <c r="AT474" s="362"/>
      <c r="AU474" s="362"/>
      <c r="AV474" s="362"/>
      <c r="AW474" s="362"/>
      <c r="AX474" s="362"/>
      <c r="AY474" s="362"/>
      <c r="AZ474" s="362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</row>
    <row r="475" spans="1:68" ht="20.25" customHeight="1">
      <c r="A475" s="100">
        <v>75</v>
      </c>
      <c r="B475" s="100" t="s">
        <v>62</v>
      </c>
      <c r="C475" s="100" t="s">
        <v>2408</v>
      </c>
      <c r="D475" s="102" t="s">
        <v>859</v>
      </c>
      <c r="E475" s="100" t="str">
        <f t="shared" si="300"/>
        <v>Sama</v>
      </c>
      <c r="F475" s="63">
        <f t="shared" si="548"/>
        <v>441</v>
      </c>
      <c r="G475" s="63">
        <v>2</v>
      </c>
      <c r="H475" s="64" t="s">
        <v>62</v>
      </c>
      <c r="I475" s="62" t="s">
        <v>859</v>
      </c>
      <c r="J475" s="66">
        <v>2261.5249059344965</v>
      </c>
      <c r="K475" s="533" t="s">
        <v>91</v>
      </c>
      <c r="L475" s="68">
        <f t="shared" si="549"/>
        <v>3347</v>
      </c>
      <c r="M475" s="63" t="s">
        <v>1076</v>
      </c>
      <c r="N475" s="365">
        <f t="shared" si="550"/>
        <v>21</v>
      </c>
      <c r="O475" s="347" t="s">
        <v>1779</v>
      </c>
      <c r="P475" s="370">
        <v>0</v>
      </c>
      <c r="Q475" s="370">
        <v>0</v>
      </c>
      <c r="R475" s="370">
        <v>3347</v>
      </c>
      <c r="S475" s="68">
        <f t="shared" si="551"/>
        <v>3347</v>
      </c>
      <c r="T475" s="63"/>
      <c r="U475" s="385" t="s">
        <v>1780</v>
      </c>
      <c r="V475" s="370">
        <v>2046</v>
      </c>
      <c r="W475" s="370">
        <v>0</v>
      </c>
      <c r="X475" s="370">
        <v>2046</v>
      </c>
      <c r="Y475" s="68">
        <f t="shared" si="552"/>
        <v>2046</v>
      </c>
      <c r="Z475" s="345"/>
      <c r="AA475" s="385"/>
      <c r="AB475" s="345"/>
      <c r="AC475" s="345"/>
      <c r="AD475" s="345"/>
      <c r="AE475" s="68">
        <f t="shared" si="553"/>
        <v>0</v>
      </c>
      <c r="AF475" s="366">
        <v>2020</v>
      </c>
      <c r="AG475" s="358"/>
      <c r="AH475" s="359"/>
      <c r="AI475" s="360"/>
      <c r="AJ475" s="360"/>
      <c r="AK475" s="360" t="str">
        <f t="shared" si="554"/>
        <v>V</v>
      </c>
      <c r="AL475" s="18"/>
      <c r="AM475" s="360" t="str">
        <f t="shared" si="555"/>
        <v>2</v>
      </c>
      <c r="AN475" s="360" t="str">
        <f t="shared" si="512"/>
        <v>1</v>
      </c>
      <c r="AO475" s="360"/>
      <c r="AP475" s="346" t="str">
        <f t="shared" si="556"/>
        <v>1</v>
      </c>
      <c r="AQ475" s="360" t="str">
        <f t="shared" si="542"/>
        <v>2.1..1</v>
      </c>
      <c r="AR475" s="530"/>
      <c r="AS475" s="362" t="s">
        <v>2409</v>
      </c>
      <c r="AT475" s="367">
        <v>2262</v>
      </c>
      <c r="AU475" s="367">
        <v>3348</v>
      </c>
      <c r="AV475" s="368">
        <f>AU475/AT475</f>
        <v>1.4801061007957559</v>
      </c>
      <c r="AW475" s="367">
        <v>1947</v>
      </c>
      <c r="AX475" s="368">
        <f>AW475/AT475</f>
        <v>0.86074270557029176</v>
      </c>
      <c r="AY475" s="362">
        <v>314</v>
      </c>
      <c r="AZ475" s="368">
        <f>AY475/AT475</f>
        <v>0.13881520778072501</v>
      </c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</row>
    <row r="476" spans="1:68" ht="20.25" customHeight="1">
      <c r="A476" s="100">
        <v>75</v>
      </c>
      <c r="B476" s="100" t="s">
        <v>62</v>
      </c>
      <c r="C476" s="100" t="s">
        <v>2410</v>
      </c>
      <c r="D476" s="102" t="s">
        <v>62</v>
      </c>
      <c r="E476" s="100" t="str">
        <f t="shared" si="300"/>
        <v>Sama</v>
      </c>
      <c r="F476" s="63">
        <f t="shared" si="548"/>
        <v>442</v>
      </c>
      <c r="G476" s="63">
        <v>3</v>
      </c>
      <c r="H476" s="64" t="s">
        <v>62</v>
      </c>
      <c r="I476" s="62" t="s">
        <v>62</v>
      </c>
      <c r="J476" s="66">
        <v>15217.78771214886</v>
      </c>
      <c r="K476" s="533" t="s">
        <v>104</v>
      </c>
      <c r="L476" s="68">
        <f t="shared" si="549"/>
        <v>0</v>
      </c>
      <c r="M476" s="63"/>
      <c r="N476" s="392" t="e">
        <f t="shared" si="550"/>
        <v>#VALUE!</v>
      </c>
      <c r="O476" s="382"/>
      <c r="P476" s="68"/>
      <c r="Q476" s="68"/>
      <c r="R476" s="68"/>
      <c r="S476" s="68">
        <f t="shared" si="551"/>
        <v>0</v>
      </c>
      <c r="T476" s="63"/>
      <c r="U476" s="347" t="s">
        <v>1387</v>
      </c>
      <c r="V476" s="370">
        <v>0</v>
      </c>
      <c r="W476" s="370">
        <v>0</v>
      </c>
      <c r="X476" s="370">
        <v>0</v>
      </c>
      <c r="Y476" s="68">
        <f t="shared" si="552"/>
        <v>0</v>
      </c>
      <c r="Z476" s="345"/>
      <c r="AA476" s="347"/>
      <c r="AB476" s="345"/>
      <c r="AC476" s="345"/>
      <c r="AD476" s="345"/>
      <c r="AE476" s="68">
        <f t="shared" si="553"/>
        <v>0</v>
      </c>
      <c r="AF476" s="366" t="s">
        <v>1097</v>
      </c>
      <c r="AG476" s="358"/>
      <c r="AH476" s="359"/>
      <c r="AI476" s="360"/>
      <c r="AJ476" s="360"/>
      <c r="AK476" s="360" t="str">
        <f t="shared" si="554"/>
        <v/>
      </c>
      <c r="AL476" s="18"/>
      <c r="AM476" s="360" t="e">
        <f t="shared" si="555"/>
        <v>#VALUE!</v>
      </c>
      <c r="AN476" s="360" t="str">
        <f t="shared" si="512"/>
        <v>2</v>
      </c>
      <c r="AO476" s="360"/>
      <c r="AP476" s="346" t="str">
        <f t="shared" si="556"/>
        <v>2</v>
      </c>
      <c r="AQ476" s="360" t="e">
        <f t="shared" si="542"/>
        <v>#VALUE!</v>
      </c>
      <c r="AR476" s="530"/>
      <c r="AS476" s="360"/>
      <c r="AT476" s="362"/>
      <c r="AU476" s="362"/>
      <c r="AV476" s="362"/>
      <c r="AW476" s="362"/>
      <c r="AX476" s="362"/>
      <c r="AY476" s="362"/>
      <c r="AZ476" s="362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</row>
    <row r="477" spans="1:68" ht="20.25" customHeight="1">
      <c r="A477" s="100">
        <v>75</v>
      </c>
      <c r="B477" s="100" t="s">
        <v>62</v>
      </c>
      <c r="C477" s="100" t="s">
        <v>2411</v>
      </c>
      <c r="D477" s="102" t="s">
        <v>862</v>
      </c>
      <c r="E477" s="100" t="str">
        <f t="shared" si="300"/>
        <v>Sama</v>
      </c>
      <c r="F477" s="63">
        <f t="shared" si="548"/>
        <v>443</v>
      </c>
      <c r="G477" s="63">
        <v>4</v>
      </c>
      <c r="H477" s="64" t="s">
        <v>62</v>
      </c>
      <c r="I477" s="62" t="s">
        <v>862</v>
      </c>
      <c r="J477" s="66">
        <v>4760.9958681069966</v>
      </c>
      <c r="K477" s="533" t="s">
        <v>104</v>
      </c>
      <c r="L477" s="68">
        <f t="shared" si="549"/>
        <v>5600</v>
      </c>
      <c r="M477" s="63"/>
      <c r="N477" s="392">
        <f t="shared" si="550"/>
        <v>2013</v>
      </c>
      <c r="O477" s="382" t="s">
        <v>1318</v>
      </c>
      <c r="P477" s="68">
        <v>5600</v>
      </c>
      <c r="Q477" s="68">
        <v>0</v>
      </c>
      <c r="R477" s="68">
        <v>5600</v>
      </c>
      <c r="S477" s="68">
        <f t="shared" si="551"/>
        <v>5600</v>
      </c>
      <c r="T477" s="63"/>
      <c r="U477" s="347"/>
      <c r="V477" s="370"/>
      <c r="W477" s="370"/>
      <c r="X477" s="370"/>
      <c r="Y477" s="68">
        <f t="shared" si="552"/>
        <v>0</v>
      </c>
      <c r="Z477" s="345"/>
      <c r="AA477" s="347"/>
      <c r="AB477" s="345"/>
      <c r="AC477" s="345"/>
      <c r="AD477" s="345"/>
      <c r="AE477" s="68">
        <f t="shared" si="553"/>
        <v>0</v>
      </c>
      <c r="AF477" s="366" t="s">
        <v>1464</v>
      </c>
      <c r="AG477" s="358"/>
      <c r="AH477" s="359"/>
      <c r="AI477" s="360"/>
      <c r="AJ477" s="360"/>
      <c r="AK477" s="360" t="str">
        <f t="shared" si="554"/>
        <v/>
      </c>
      <c r="AL477" s="18"/>
      <c r="AM477" s="360" t="str">
        <f t="shared" si="555"/>
        <v>2</v>
      </c>
      <c r="AN477" s="360" t="str">
        <f t="shared" si="512"/>
        <v>1</v>
      </c>
      <c r="AO477" s="360"/>
      <c r="AP477" s="346" t="str">
        <f t="shared" si="556"/>
        <v>2</v>
      </c>
      <c r="AQ477" s="360" t="str">
        <f t="shared" si="542"/>
        <v>2.1..2</v>
      </c>
      <c r="AR477" s="530"/>
      <c r="AS477" s="360"/>
      <c r="AT477" s="362"/>
      <c r="AU477" s="362"/>
      <c r="AV477" s="362"/>
      <c r="AW477" s="362"/>
      <c r="AX477" s="362"/>
      <c r="AY477" s="362"/>
      <c r="AZ477" s="362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</row>
    <row r="478" spans="1:68" ht="20.25" customHeight="1">
      <c r="A478" s="100">
        <v>75</v>
      </c>
      <c r="B478" s="100" t="s">
        <v>62</v>
      </c>
      <c r="C478" s="100" t="s">
        <v>2412</v>
      </c>
      <c r="D478" s="102" t="s">
        <v>864</v>
      </c>
      <c r="E478" s="100" t="str">
        <f t="shared" si="300"/>
        <v>Sama</v>
      </c>
      <c r="F478" s="63">
        <f t="shared" si="548"/>
        <v>444</v>
      </c>
      <c r="G478" s="63">
        <v>5</v>
      </c>
      <c r="H478" s="64" t="s">
        <v>62</v>
      </c>
      <c r="I478" s="62" t="s">
        <v>864</v>
      </c>
      <c r="J478" s="66">
        <v>1136.0674068317721</v>
      </c>
      <c r="K478" s="533" t="s">
        <v>91</v>
      </c>
      <c r="L478" s="68">
        <f t="shared" si="549"/>
        <v>459</v>
      </c>
      <c r="M478" s="63" t="s">
        <v>1076</v>
      </c>
      <c r="N478" s="365">
        <f t="shared" si="550"/>
        <v>19</v>
      </c>
      <c r="O478" s="531" t="s">
        <v>1784</v>
      </c>
      <c r="P478" s="370">
        <v>0</v>
      </c>
      <c r="Q478" s="370">
        <v>0</v>
      </c>
      <c r="R478" s="370">
        <v>459</v>
      </c>
      <c r="S478" s="68">
        <f t="shared" si="551"/>
        <v>459</v>
      </c>
      <c r="T478" s="63"/>
      <c r="U478" s="347"/>
      <c r="V478" s="370"/>
      <c r="W478" s="370"/>
      <c r="X478" s="370"/>
      <c r="Y478" s="68">
        <f t="shared" si="552"/>
        <v>0</v>
      </c>
      <c r="Z478" s="345"/>
      <c r="AA478" s="347"/>
      <c r="AB478" s="345"/>
      <c r="AC478" s="345"/>
      <c r="AD478" s="345"/>
      <c r="AE478" s="68">
        <f t="shared" si="553"/>
        <v>0</v>
      </c>
      <c r="AF478" s="366">
        <v>2020</v>
      </c>
      <c r="AG478" s="358"/>
      <c r="AH478" s="359"/>
      <c r="AI478" s="360"/>
      <c r="AJ478" s="360"/>
      <c r="AK478" s="360" t="str">
        <f t="shared" si="554"/>
        <v>V</v>
      </c>
      <c r="AL478" s="18"/>
      <c r="AM478" s="360" t="str">
        <f t="shared" si="555"/>
        <v>2</v>
      </c>
      <c r="AN478" s="360" t="str">
        <f t="shared" si="512"/>
        <v>1</v>
      </c>
      <c r="AO478" s="360"/>
      <c r="AP478" s="346" t="str">
        <f t="shared" si="556"/>
        <v>2</v>
      </c>
      <c r="AQ478" s="360" t="str">
        <f t="shared" si="542"/>
        <v>2.1..2</v>
      </c>
      <c r="AR478" s="530"/>
      <c r="AS478" s="362" t="s">
        <v>385</v>
      </c>
      <c r="AT478" s="367">
        <v>1136</v>
      </c>
      <c r="AU478" s="362">
        <v>250</v>
      </c>
      <c r="AV478" s="368">
        <f>AU478/AT478</f>
        <v>0.22007042253521128</v>
      </c>
      <c r="AW478" s="362">
        <v>250</v>
      </c>
      <c r="AX478" s="368">
        <f>AW478/AT478</f>
        <v>0.22007042253521128</v>
      </c>
      <c r="AY478" s="362">
        <v>886</v>
      </c>
      <c r="AZ478" s="368">
        <f>AY478/AT478</f>
        <v>0.77992957746478875</v>
      </c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</row>
    <row r="479" spans="1:68" ht="20.25" customHeight="1">
      <c r="A479" s="100">
        <v>75</v>
      </c>
      <c r="B479" s="100" t="s">
        <v>62</v>
      </c>
      <c r="C479" s="100" t="s">
        <v>2413</v>
      </c>
      <c r="D479" s="102" t="s">
        <v>865</v>
      </c>
      <c r="E479" s="100" t="str">
        <f t="shared" si="300"/>
        <v>Beda</v>
      </c>
      <c r="F479" s="63">
        <f t="shared" si="548"/>
        <v>445</v>
      </c>
      <c r="G479" s="63">
        <v>6</v>
      </c>
      <c r="H479" s="64" t="s">
        <v>62</v>
      </c>
      <c r="I479" s="62" t="s">
        <v>2414</v>
      </c>
      <c r="J479" s="66">
        <v>4739.4620276536725</v>
      </c>
      <c r="K479" s="533" t="s">
        <v>104</v>
      </c>
      <c r="L479" s="68">
        <f t="shared" si="549"/>
        <v>4739</v>
      </c>
      <c r="M479" s="63"/>
      <c r="N479" s="392" t="e">
        <f t="shared" si="550"/>
        <v>#VALUE!</v>
      </c>
      <c r="O479" s="382"/>
      <c r="P479" s="68"/>
      <c r="Q479" s="68"/>
      <c r="R479" s="68"/>
      <c r="S479" s="68">
        <f t="shared" si="551"/>
        <v>0</v>
      </c>
      <c r="T479" s="63"/>
      <c r="U479" s="347" t="s">
        <v>1786</v>
      </c>
      <c r="V479" s="370">
        <v>4739</v>
      </c>
      <c r="W479" s="370">
        <v>0</v>
      </c>
      <c r="X479" s="370">
        <v>0</v>
      </c>
      <c r="Y479" s="68">
        <f t="shared" si="552"/>
        <v>4739</v>
      </c>
      <c r="Z479" s="345"/>
      <c r="AA479" s="347"/>
      <c r="AB479" s="345"/>
      <c r="AC479" s="345"/>
      <c r="AD479" s="345"/>
      <c r="AE479" s="68">
        <f t="shared" si="553"/>
        <v>0</v>
      </c>
      <c r="AF479" s="366" t="s">
        <v>1347</v>
      </c>
      <c r="AG479" s="358"/>
      <c r="AH479" s="359"/>
      <c r="AI479" s="360"/>
      <c r="AJ479" s="360"/>
      <c r="AK479" s="360" t="str">
        <f t="shared" si="554"/>
        <v/>
      </c>
      <c r="AL479" s="18"/>
      <c r="AM479" s="360" t="e">
        <f t="shared" si="555"/>
        <v>#VALUE!</v>
      </c>
      <c r="AN479" s="360" t="str">
        <f t="shared" si="512"/>
        <v>2</v>
      </c>
      <c r="AO479" s="360"/>
      <c r="AP479" s="346" t="str">
        <f t="shared" si="556"/>
        <v>1</v>
      </c>
      <c r="AQ479" s="360" t="e">
        <f t="shared" si="542"/>
        <v>#VALUE!</v>
      </c>
      <c r="AR479" s="530"/>
      <c r="AS479" s="360"/>
      <c r="AT479" s="362"/>
      <c r="AU479" s="362"/>
      <c r="AV479" s="362"/>
      <c r="AW479" s="362"/>
      <c r="AX479" s="362"/>
      <c r="AY479" s="362"/>
      <c r="AZ479" s="362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</row>
    <row r="480" spans="1:68" ht="20.25" customHeight="1">
      <c r="A480" s="100">
        <v>81</v>
      </c>
      <c r="B480" s="100" t="s">
        <v>64</v>
      </c>
      <c r="C480" s="100">
        <v>81</v>
      </c>
      <c r="D480" s="102" t="s">
        <v>2415</v>
      </c>
      <c r="E480" s="100" t="str">
        <f t="shared" si="300"/>
        <v>Sama</v>
      </c>
      <c r="F480" s="63"/>
      <c r="G480" s="342"/>
      <c r="H480" s="379"/>
      <c r="I480" s="379" t="s">
        <v>2415</v>
      </c>
      <c r="J480" s="380">
        <f>SUM(J481:J491)</f>
        <v>18283.404199225482</v>
      </c>
      <c r="K480" s="353">
        <f>COUNTIF(K481:K491,"D") + COUNTIF(K481:K491,"DS")</f>
        <v>6</v>
      </c>
      <c r="L480" s="383">
        <f>SUBTOTAL(9,L481:L491)</f>
        <v>19029</v>
      </c>
      <c r="M480" s="342"/>
      <c r="N480" s="355"/>
      <c r="O480" s="356"/>
      <c r="P480" s="383">
        <f t="shared" ref="P480:S480" si="557">SUBTOTAL(9,P481:P489)</f>
        <v>16189</v>
      </c>
      <c r="Q480" s="383">
        <f t="shared" si="557"/>
        <v>0</v>
      </c>
      <c r="R480" s="383">
        <f t="shared" si="557"/>
        <v>16189</v>
      </c>
      <c r="S480" s="383">
        <f t="shared" si="557"/>
        <v>16189</v>
      </c>
      <c r="T480" s="342"/>
      <c r="U480" s="351"/>
      <c r="V480" s="384">
        <v>2840</v>
      </c>
      <c r="W480" s="384">
        <v>0</v>
      </c>
      <c r="X480" s="384">
        <v>0</v>
      </c>
      <c r="Y480" s="383">
        <f>SUBTOTAL(9,Y481:Y489)</f>
        <v>2840</v>
      </c>
      <c r="Z480" s="337"/>
      <c r="AA480" s="351"/>
      <c r="AB480" s="337">
        <v>2840</v>
      </c>
      <c r="AC480" s="337">
        <v>0</v>
      </c>
      <c r="AD480" s="337">
        <v>0</v>
      </c>
      <c r="AE480" s="383">
        <f>SUBTOTAL(9,AE481:AE489)</f>
        <v>0</v>
      </c>
      <c r="AF480" s="357" t="s">
        <v>1138</v>
      </c>
      <c r="AG480" s="358"/>
      <c r="AH480" s="359"/>
      <c r="AI480" s="360"/>
      <c r="AJ480" s="360"/>
      <c r="AK480" s="361">
        <f>COUNTIF(AK481:AK491,"V") + COUNTIF(AK481:AK491,"VV") + COUNTIF(AK481:AK491,"VVV")</f>
        <v>0</v>
      </c>
      <c r="AL480" s="18"/>
      <c r="AM480" s="360"/>
      <c r="AN480" s="360" t="str">
        <f t="shared" si="512"/>
        <v>1</v>
      </c>
      <c r="AO480" s="360"/>
      <c r="AP480" s="346"/>
      <c r="AQ480" s="360" t="str">
        <f t="shared" si="542"/>
        <v>.1..</v>
      </c>
      <c r="AR480" s="530"/>
      <c r="AS480" s="360"/>
      <c r="AT480" s="362"/>
      <c r="AU480" s="362"/>
      <c r="AV480" s="362"/>
      <c r="AW480" s="362"/>
      <c r="AX480" s="362"/>
      <c r="AY480" s="362"/>
      <c r="AZ480" s="362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</row>
    <row r="481" spans="1:68" ht="20.25" customHeight="1">
      <c r="A481" s="100">
        <v>81</v>
      </c>
      <c r="B481" s="100" t="s">
        <v>64</v>
      </c>
      <c r="C481" s="100" t="s">
        <v>2416</v>
      </c>
      <c r="D481" s="102" t="s">
        <v>867</v>
      </c>
      <c r="E481" s="100" t="str">
        <f t="shared" si="300"/>
        <v>Sama</v>
      </c>
      <c r="F481" s="63">
        <f t="shared" ref="F481:F483" si="558">SUBTOTAL(3,$G$7:G481)</f>
        <v>446</v>
      </c>
      <c r="G481" s="63">
        <v>1</v>
      </c>
      <c r="H481" s="62" t="s">
        <v>64</v>
      </c>
      <c r="I481" s="62" t="s">
        <v>867</v>
      </c>
      <c r="J481" s="66">
        <v>7327.9536468317128</v>
      </c>
      <c r="K481" s="533" t="s">
        <v>104</v>
      </c>
      <c r="L481" s="68">
        <f t="shared" ref="L481:L491" si="559">IF(S481&gt;0,S481,IF(Y481&gt;0,Y481,IF(AE481&gt;0,AE481,0)))</f>
        <v>0</v>
      </c>
      <c r="M481" s="63"/>
      <c r="N481" s="392" t="e">
        <f t="shared" ref="N481:N491" si="560">VALUE(RIGHT(O481,4))</f>
        <v>#VALUE!</v>
      </c>
      <c r="O481" s="382"/>
      <c r="P481" s="68"/>
      <c r="Q481" s="68"/>
      <c r="R481" s="68"/>
      <c r="S481" s="68">
        <f t="shared" ref="S481:S491" si="561">IF(R481&gt;0,R481,IF(P481&gt;0,P481,0))</f>
        <v>0</v>
      </c>
      <c r="T481" s="63"/>
      <c r="U481" s="347" t="s">
        <v>868</v>
      </c>
      <c r="V481" s="370">
        <v>0</v>
      </c>
      <c r="W481" s="370">
        <v>0</v>
      </c>
      <c r="X481" s="370">
        <v>0</v>
      </c>
      <c r="Y481" s="68">
        <f t="shared" ref="Y481:Y489" si="562">IF(X481&gt;0,X481,IF(V481&gt;0,V481,0))</f>
        <v>0</v>
      </c>
      <c r="Z481" s="345"/>
      <c r="AA481" s="347"/>
      <c r="AB481" s="345"/>
      <c r="AC481" s="345"/>
      <c r="AD481" s="345"/>
      <c r="AE481" s="68">
        <f t="shared" ref="AE481:AE489" si="563">IF(AD481&gt;0,AD481,IF(AB481&gt;0,AB481,0))</f>
        <v>0</v>
      </c>
      <c r="AF481" s="366">
        <v>2023</v>
      </c>
      <c r="AG481" s="358" t="s">
        <v>1090</v>
      </c>
      <c r="AH481" s="359"/>
      <c r="AI481" s="360"/>
      <c r="AJ481" s="360"/>
      <c r="AK481" s="360" t="str">
        <f t="shared" ref="AK481:AK491" si="564">CONCATENATE(M481,T481,Z481)</f>
        <v/>
      </c>
      <c r="AL481" s="18"/>
      <c r="AM481" s="360" t="e">
        <f t="shared" ref="AM481:AM491" si="565">IF(N481=0,"3",IF(N481&lt;=2018,"2","1"))</f>
        <v>#VALUE!</v>
      </c>
      <c r="AN481" s="360" t="str">
        <f t="shared" si="512"/>
        <v>2</v>
      </c>
      <c r="AO481" s="360"/>
      <c r="AP481" s="346" t="str">
        <f t="shared" ref="AP481:AP491" si="566">IF(Y481&gt;0,"1",IF(AE481&gt;0,"1","2"))</f>
        <v>2</v>
      </c>
      <c r="AQ481" s="360" t="e">
        <f t="shared" si="542"/>
        <v>#VALUE!</v>
      </c>
      <c r="AR481" s="530"/>
      <c r="AS481" s="360"/>
      <c r="AT481" s="362"/>
      <c r="AU481" s="362"/>
      <c r="AV481" s="362"/>
      <c r="AW481" s="362"/>
      <c r="AX481" s="362"/>
      <c r="AY481" s="362"/>
      <c r="AZ481" s="362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</row>
    <row r="482" spans="1:68" ht="20.25" customHeight="1">
      <c r="A482" s="100">
        <v>81</v>
      </c>
      <c r="B482" s="100" t="s">
        <v>64</v>
      </c>
      <c r="C482" s="100" t="s">
        <v>2417</v>
      </c>
      <c r="D482" s="102" t="s">
        <v>869</v>
      </c>
      <c r="E482" s="100" t="str">
        <f t="shared" si="300"/>
        <v>Sama</v>
      </c>
      <c r="F482" s="63">
        <f t="shared" si="558"/>
        <v>447</v>
      </c>
      <c r="G482" s="63">
        <v>2</v>
      </c>
      <c r="H482" s="62" t="s">
        <v>64</v>
      </c>
      <c r="I482" s="62" t="s">
        <v>869</v>
      </c>
      <c r="J482" s="66">
        <v>0</v>
      </c>
      <c r="K482" s="533" t="s">
        <v>661</v>
      </c>
      <c r="L482" s="68">
        <f t="shared" si="559"/>
        <v>0</v>
      </c>
      <c r="M482" s="63"/>
      <c r="N482" s="392" t="e">
        <f t="shared" si="560"/>
        <v>#VALUE!</v>
      </c>
      <c r="O482" s="382"/>
      <c r="P482" s="68"/>
      <c r="Q482" s="68"/>
      <c r="R482" s="68"/>
      <c r="S482" s="68">
        <f t="shared" si="561"/>
        <v>0</v>
      </c>
      <c r="T482" s="63"/>
      <c r="U482" s="347"/>
      <c r="V482" s="370"/>
      <c r="W482" s="370"/>
      <c r="X482" s="370"/>
      <c r="Y482" s="68">
        <f t="shared" si="562"/>
        <v>0</v>
      </c>
      <c r="Z482" s="345"/>
      <c r="AA482" s="347"/>
      <c r="AB482" s="345"/>
      <c r="AC482" s="345"/>
      <c r="AD482" s="345"/>
      <c r="AE482" s="68">
        <f t="shared" si="563"/>
        <v>0</v>
      </c>
      <c r="AF482" s="366" t="s">
        <v>1097</v>
      </c>
      <c r="AG482" s="358"/>
      <c r="AH482" s="359"/>
      <c r="AI482" s="360"/>
      <c r="AJ482" s="360"/>
      <c r="AK482" s="360" t="str">
        <f t="shared" si="564"/>
        <v/>
      </c>
      <c r="AL482" s="18"/>
      <c r="AM482" s="360" t="e">
        <f t="shared" si="565"/>
        <v>#VALUE!</v>
      </c>
      <c r="AN482" s="360" t="str">
        <f t="shared" si="512"/>
        <v>2</v>
      </c>
      <c r="AO482" s="360"/>
      <c r="AP482" s="346" t="str">
        <f t="shared" si="566"/>
        <v>2</v>
      </c>
      <c r="AQ482" s="360" t="e">
        <f t="shared" si="542"/>
        <v>#VALUE!</v>
      </c>
      <c r="AR482" s="530"/>
      <c r="AS482" s="360"/>
      <c r="AT482" s="362"/>
      <c r="AU482" s="362"/>
      <c r="AV482" s="362"/>
      <c r="AW482" s="362"/>
      <c r="AX482" s="362"/>
      <c r="AY482" s="362"/>
      <c r="AZ482" s="362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</row>
    <row r="483" spans="1:68" ht="20.25" customHeight="1">
      <c r="A483" s="100">
        <v>81</v>
      </c>
      <c r="B483" s="100" t="s">
        <v>64</v>
      </c>
      <c r="C483" s="100" t="s">
        <v>2418</v>
      </c>
      <c r="D483" s="102" t="s">
        <v>871</v>
      </c>
      <c r="E483" s="100" t="str">
        <f t="shared" si="300"/>
        <v>Sama</v>
      </c>
      <c r="F483" s="63">
        <f t="shared" si="558"/>
        <v>448</v>
      </c>
      <c r="G483" s="63">
        <v>3</v>
      </c>
      <c r="H483" s="62" t="s">
        <v>64</v>
      </c>
      <c r="I483" s="62" t="s">
        <v>871</v>
      </c>
      <c r="J483" s="66">
        <v>0</v>
      </c>
      <c r="K483" s="533" t="s">
        <v>104</v>
      </c>
      <c r="L483" s="68">
        <f t="shared" si="559"/>
        <v>1189</v>
      </c>
      <c r="M483" s="63"/>
      <c r="N483" s="392">
        <f t="shared" si="560"/>
        <v>2012</v>
      </c>
      <c r="O483" s="382" t="s">
        <v>828</v>
      </c>
      <c r="P483" s="68">
        <v>1189</v>
      </c>
      <c r="Q483" s="68">
        <v>0</v>
      </c>
      <c r="R483" s="68">
        <v>1189</v>
      </c>
      <c r="S483" s="68">
        <f t="shared" si="561"/>
        <v>1189</v>
      </c>
      <c r="T483" s="63"/>
      <c r="U483" s="347"/>
      <c r="V483" s="370"/>
      <c r="W483" s="370"/>
      <c r="X483" s="370"/>
      <c r="Y483" s="68">
        <f t="shared" si="562"/>
        <v>0</v>
      </c>
      <c r="Z483" s="345"/>
      <c r="AA483" s="347"/>
      <c r="AB483" s="345"/>
      <c r="AC483" s="345"/>
      <c r="AD483" s="345"/>
      <c r="AE483" s="68">
        <f t="shared" si="563"/>
        <v>0</v>
      </c>
      <c r="AF483" s="366" t="s">
        <v>1097</v>
      </c>
      <c r="AG483" s="358"/>
      <c r="AH483" s="359"/>
      <c r="AI483" s="360"/>
      <c r="AJ483" s="360"/>
      <c r="AK483" s="360" t="str">
        <f t="shared" si="564"/>
        <v/>
      </c>
      <c r="AL483" s="18"/>
      <c r="AM483" s="360" t="str">
        <f t="shared" si="565"/>
        <v>2</v>
      </c>
      <c r="AN483" s="360" t="str">
        <f t="shared" si="512"/>
        <v>1</v>
      </c>
      <c r="AO483" s="360"/>
      <c r="AP483" s="346" t="str">
        <f t="shared" si="566"/>
        <v>2</v>
      </c>
      <c r="AQ483" s="360" t="str">
        <f t="shared" si="542"/>
        <v>2.1..2</v>
      </c>
      <c r="AR483" s="530"/>
      <c r="AS483" s="360"/>
      <c r="AT483" s="362"/>
      <c r="AU483" s="362"/>
      <c r="AV483" s="362"/>
      <c r="AW483" s="362"/>
      <c r="AX483" s="362"/>
      <c r="AY483" s="362"/>
      <c r="AZ483" s="362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</row>
    <row r="484" spans="1:68" ht="20.25" customHeight="1">
      <c r="A484" s="100">
        <v>81</v>
      </c>
      <c r="B484" s="100" t="s">
        <v>64</v>
      </c>
      <c r="C484" s="100" t="s">
        <v>2419</v>
      </c>
      <c r="D484" s="102" t="s">
        <v>872</v>
      </c>
      <c r="E484" s="100" t="str">
        <f t="shared" si="300"/>
        <v>Beda</v>
      </c>
      <c r="F484" s="63">
        <f>SUBTOTAL(3,$G$7:G489)</f>
        <v>454</v>
      </c>
      <c r="G484" s="63">
        <v>9</v>
      </c>
      <c r="H484" s="62" t="s">
        <v>64</v>
      </c>
      <c r="I484" s="62" t="s">
        <v>2420</v>
      </c>
      <c r="J484" s="66">
        <v>0</v>
      </c>
      <c r="K484" s="533" t="s">
        <v>104</v>
      </c>
      <c r="L484" s="68">
        <f t="shared" si="559"/>
        <v>0</v>
      </c>
      <c r="M484" s="63"/>
      <c r="N484" s="392" t="e">
        <f t="shared" si="560"/>
        <v>#VALUE!</v>
      </c>
      <c r="O484" s="382"/>
      <c r="P484" s="68"/>
      <c r="Q484" s="68"/>
      <c r="R484" s="68"/>
      <c r="S484" s="68">
        <f t="shared" si="561"/>
        <v>0</v>
      </c>
      <c r="T484" s="63"/>
      <c r="U484" s="347" t="s">
        <v>1811</v>
      </c>
      <c r="V484" s="370">
        <v>0</v>
      </c>
      <c r="W484" s="370">
        <v>0</v>
      </c>
      <c r="X484" s="370">
        <v>0</v>
      </c>
      <c r="Y484" s="68">
        <f t="shared" si="562"/>
        <v>0</v>
      </c>
      <c r="Z484" s="345"/>
      <c r="AA484" s="347"/>
      <c r="AB484" s="345"/>
      <c r="AC484" s="345"/>
      <c r="AD484" s="345"/>
      <c r="AE484" s="68">
        <f t="shared" si="563"/>
        <v>0</v>
      </c>
      <c r="AF484" s="366" t="s">
        <v>1097</v>
      </c>
      <c r="AG484" s="358"/>
      <c r="AH484" s="359"/>
      <c r="AI484" s="360"/>
      <c r="AJ484" s="360"/>
      <c r="AK484" s="360" t="str">
        <f t="shared" si="564"/>
        <v/>
      </c>
      <c r="AL484" s="18"/>
      <c r="AM484" s="360" t="e">
        <f t="shared" si="565"/>
        <v>#VALUE!</v>
      </c>
      <c r="AN484" s="360" t="str">
        <f t="shared" si="512"/>
        <v>2</v>
      </c>
      <c r="AO484" s="360"/>
      <c r="AP484" s="346" t="str">
        <f t="shared" si="566"/>
        <v>2</v>
      </c>
      <c r="AQ484" s="360" t="e">
        <f t="shared" si="542"/>
        <v>#VALUE!</v>
      </c>
      <c r="AR484" s="530"/>
      <c r="AS484" s="360"/>
      <c r="AT484" s="362"/>
      <c r="AU484" s="362"/>
      <c r="AV484" s="362"/>
      <c r="AW484" s="362"/>
      <c r="AX484" s="362"/>
      <c r="AY484" s="362"/>
      <c r="AZ484" s="362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</row>
    <row r="485" spans="1:68" ht="20.25" customHeight="1">
      <c r="A485" s="100">
        <v>81</v>
      </c>
      <c r="B485" s="100" t="s">
        <v>64</v>
      </c>
      <c r="C485" s="100" t="s">
        <v>2421</v>
      </c>
      <c r="D485" s="102" t="s">
        <v>873</v>
      </c>
      <c r="E485" s="100" t="str">
        <f t="shared" si="300"/>
        <v>Sama</v>
      </c>
      <c r="F485" s="63">
        <f t="shared" ref="F485:F491" si="567">SUBTOTAL(3,$G$7:G485)</f>
        <v>450</v>
      </c>
      <c r="G485" s="63">
        <v>4</v>
      </c>
      <c r="H485" s="62" t="s">
        <v>64</v>
      </c>
      <c r="I485" s="62" t="s">
        <v>873</v>
      </c>
      <c r="J485" s="66">
        <v>0</v>
      </c>
      <c r="K485" s="533" t="s">
        <v>661</v>
      </c>
      <c r="L485" s="68">
        <f t="shared" si="559"/>
        <v>0</v>
      </c>
      <c r="M485" s="63"/>
      <c r="N485" s="392" t="e">
        <f t="shared" si="560"/>
        <v>#VALUE!</v>
      </c>
      <c r="O485" s="382"/>
      <c r="P485" s="68"/>
      <c r="Q485" s="68"/>
      <c r="R485" s="68"/>
      <c r="S485" s="68">
        <f t="shared" si="561"/>
        <v>0</v>
      </c>
      <c r="T485" s="63"/>
      <c r="U485" s="347"/>
      <c r="V485" s="370"/>
      <c r="W485" s="370"/>
      <c r="X485" s="370"/>
      <c r="Y485" s="68">
        <f t="shared" si="562"/>
        <v>0</v>
      </c>
      <c r="Z485" s="345"/>
      <c r="AA485" s="347"/>
      <c r="AB485" s="345"/>
      <c r="AC485" s="345"/>
      <c r="AD485" s="345"/>
      <c r="AE485" s="68">
        <f t="shared" si="563"/>
        <v>0</v>
      </c>
      <c r="AF485" s="366" t="s">
        <v>1097</v>
      </c>
      <c r="AG485" s="358"/>
      <c r="AH485" s="359"/>
      <c r="AI485" s="360"/>
      <c r="AJ485" s="360"/>
      <c r="AK485" s="360" t="str">
        <f t="shared" si="564"/>
        <v/>
      </c>
      <c r="AL485" s="18"/>
      <c r="AM485" s="360" t="e">
        <f t="shared" si="565"/>
        <v>#VALUE!</v>
      </c>
      <c r="AN485" s="360" t="str">
        <f t="shared" si="512"/>
        <v>2</v>
      </c>
      <c r="AO485" s="360"/>
      <c r="AP485" s="346" t="str">
        <f t="shared" si="566"/>
        <v>2</v>
      </c>
      <c r="AQ485" s="360" t="e">
        <f t="shared" si="542"/>
        <v>#VALUE!</v>
      </c>
      <c r="AR485" s="530"/>
      <c r="AS485" s="360"/>
      <c r="AT485" s="362"/>
      <c r="AU485" s="362"/>
      <c r="AV485" s="362"/>
      <c r="AW485" s="362"/>
      <c r="AX485" s="362"/>
      <c r="AY485" s="362"/>
      <c r="AZ485" s="362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</row>
    <row r="486" spans="1:68" ht="20.25" customHeight="1">
      <c r="A486" s="100">
        <v>81</v>
      </c>
      <c r="B486" s="100" t="s">
        <v>64</v>
      </c>
      <c r="C486" s="100" t="s">
        <v>2422</v>
      </c>
      <c r="D486" s="102" t="s">
        <v>874</v>
      </c>
      <c r="E486" s="100" t="str">
        <f t="shared" si="300"/>
        <v>Sama</v>
      </c>
      <c r="F486" s="63">
        <f t="shared" si="567"/>
        <v>451</v>
      </c>
      <c r="G486" s="63">
        <v>5</v>
      </c>
      <c r="H486" s="62" t="s">
        <v>64</v>
      </c>
      <c r="I486" s="62" t="s">
        <v>874</v>
      </c>
      <c r="J486" s="66">
        <v>0</v>
      </c>
      <c r="K486" s="533" t="s">
        <v>661</v>
      </c>
      <c r="L486" s="68">
        <f t="shared" si="559"/>
        <v>0</v>
      </c>
      <c r="M486" s="63"/>
      <c r="N486" s="392" t="e">
        <f t="shared" si="560"/>
        <v>#VALUE!</v>
      </c>
      <c r="O486" s="382"/>
      <c r="P486" s="68"/>
      <c r="Q486" s="68"/>
      <c r="R486" s="68"/>
      <c r="S486" s="68">
        <f t="shared" si="561"/>
        <v>0</v>
      </c>
      <c r="T486" s="63"/>
      <c r="U486" s="347"/>
      <c r="V486" s="370"/>
      <c r="W486" s="370"/>
      <c r="X486" s="370"/>
      <c r="Y486" s="68">
        <f t="shared" si="562"/>
        <v>0</v>
      </c>
      <c r="Z486" s="345"/>
      <c r="AA486" s="347"/>
      <c r="AB486" s="345"/>
      <c r="AC486" s="345"/>
      <c r="AD486" s="345"/>
      <c r="AE486" s="68">
        <f t="shared" si="563"/>
        <v>0</v>
      </c>
      <c r="AF486" s="366" t="s">
        <v>1097</v>
      </c>
      <c r="AG486" s="358"/>
      <c r="AH486" s="359"/>
      <c r="AI486" s="360"/>
      <c r="AJ486" s="360"/>
      <c r="AK486" s="360" t="str">
        <f t="shared" si="564"/>
        <v/>
      </c>
      <c r="AL486" s="18"/>
      <c r="AM486" s="360" t="e">
        <f t="shared" si="565"/>
        <v>#VALUE!</v>
      </c>
      <c r="AN486" s="360" t="str">
        <f t="shared" si="512"/>
        <v>2</v>
      </c>
      <c r="AO486" s="360"/>
      <c r="AP486" s="346" t="str">
        <f t="shared" si="566"/>
        <v>2</v>
      </c>
      <c r="AQ486" s="360" t="e">
        <f t="shared" si="542"/>
        <v>#VALUE!</v>
      </c>
      <c r="AR486" s="530"/>
      <c r="AS486" s="360"/>
      <c r="AT486" s="362"/>
      <c r="AU486" s="362"/>
      <c r="AV486" s="362"/>
      <c r="AW486" s="362"/>
      <c r="AX486" s="362"/>
      <c r="AY486" s="362"/>
      <c r="AZ486" s="362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</row>
    <row r="487" spans="1:68" ht="20.25" customHeight="1">
      <c r="A487" s="100">
        <v>81</v>
      </c>
      <c r="B487" s="100" t="s">
        <v>64</v>
      </c>
      <c r="C487" s="100" t="s">
        <v>2423</v>
      </c>
      <c r="D487" s="102" t="s">
        <v>876</v>
      </c>
      <c r="E487" s="100" t="str">
        <f t="shared" si="300"/>
        <v>Sama</v>
      </c>
      <c r="F487" s="63">
        <f t="shared" si="567"/>
        <v>452</v>
      </c>
      <c r="G487" s="63">
        <v>6</v>
      </c>
      <c r="H487" s="62" t="s">
        <v>64</v>
      </c>
      <c r="I487" s="62" t="s">
        <v>876</v>
      </c>
      <c r="J487" s="66">
        <v>0</v>
      </c>
      <c r="K487" s="533" t="s">
        <v>104</v>
      </c>
      <c r="L487" s="68">
        <f t="shared" si="559"/>
        <v>0</v>
      </c>
      <c r="M487" s="63"/>
      <c r="N487" s="392" t="e">
        <f t="shared" si="560"/>
        <v>#VALUE!</v>
      </c>
      <c r="O487" s="382"/>
      <c r="P487" s="68"/>
      <c r="Q487" s="68"/>
      <c r="R487" s="68"/>
      <c r="S487" s="68">
        <f t="shared" si="561"/>
        <v>0</v>
      </c>
      <c r="T487" s="63"/>
      <c r="U487" s="347" t="s">
        <v>149</v>
      </c>
      <c r="V487" s="370">
        <v>0</v>
      </c>
      <c r="W487" s="370">
        <v>0</v>
      </c>
      <c r="X487" s="370">
        <v>0</v>
      </c>
      <c r="Y487" s="68">
        <f t="shared" si="562"/>
        <v>0</v>
      </c>
      <c r="Z487" s="345"/>
      <c r="AA487" s="347"/>
      <c r="AB487" s="345"/>
      <c r="AC487" s="345"/>
      <c r="AD487" s="345"/>
      <c r="AE487" s="68">
        <f t="shared" si="563"/>
        <v>0</v>
      </c>
      <c r="AF487" s="366" t="s">
        <v>1097</v>
      </c>
      <c r="AG487" s="358"/>
      <c r="AH487" s="359"/>
      <c r="AI487" s="360"/>
      <c r="AJ487" s="360"/>
      <c r="AK487" s="360" t="str">
        <f t="shared" si="564"/>
        <v/>
      </c>
      <c r="AL487" s="18"/>
      <c r="AM487" s="360" t="e">
        <f t="shared" si="565"/>
        <v>#VALUE!</v>
      </c>
      <c r="AN487" s="360" t="str">
        <f t="shared" si="512"/>
        <v>2</v>
      </c>
      <c r="AO487" s="360"/>
      <c r="AP487" s="346" t="str">
        <f t="shared" si="566"/>
        <v>2</v>
      </c>
      <c r="AQ487" s="360" t="e">
        <f t="shared" si="542"/>
        <v>#VALUE!</v>
      </c>
      <c r="AR487" s="530"/>
      <c r="AS487" s="360"/>
      <c r="AT487" s="362"/>
      <c r="AU487" s="362"/>
      <c r="AV487" s="362"/>
      <c r="AW487" s="362"/>
      <c r="AX487" s="362"/>
      <c r="AY487" s="362"/>
      <c r="AZ487" s="362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</row>
    <row r="488" spans="1:68" ht="20.25" customHeight="1">
      <c r="A488" s="100">
        <v>81</v>
      </c>
      <c r="B488" s="100" t="s">
        <v>64</v>
      </c>
      <c r="C488" s="100" t="s">
        <v>2424</v>
      </c>
      <c r="D488" s="102" t="s">
        <v>877</v>
      </c>
      <c r="E488" s="100" t="str">
        <f t="shared" si="300"/>
        <v>Sama</v>
      </c>
      <c r="F488" s="63">
        <f t="shared" si="567"/>
        <v>453</v>
      </c>
      <c r="G488" s="63">
        <v>7</v>
      </c>
      <c r="H488" s="62" t="s">
        <v>64</v>
      </c>
      <c r="I488" s="62" t="s">
        <v>877</v>
      </c>
      <c r="J488" s="66">
        <v>8120.3023945354835</v>
      </c>
      <c r="K488" s="533" t="s">
        <v>104</v>
      </c>
      <c r="L488" s="68">
        <f t="shared" si="559"/>
        <v>15000</v>
      </c>
      <c r="M488" s="63"/>
      <c r="N488" s="392">
        <f t="shared" si="560"/>
        <v>2012</v>
      </c>
      <c r="O488" s="382" t="s">
        <v>315</v>
      </c>
      <c r="P488" s="68">
        <v>15000</v>
      </c>
      <c r="Q488" s="68">
        <v>0</v>
      </c>
      <c r="R488" s="68">
        <v>15000</v>
      </c>
      <c r="S488" s="68">
        <f t="shared" si="561"/>
        <v>15000</v>
      </c>
      <c r="T488" s="63"/>
      <c r="U488" s="385" t="s">
        <v>805</v>
      </c>
      <c r="V488" s="370">
        <v>0</v>
      </c>
      <c r="W488" s="370">
        <v>0</v>
      </c>
      <c r="X488" s="370">
        <v>0</v>
      </c>
      <c r="Y488" s="68">
        <f t="shared" si="562"/>
        <v>0</v>
      </c>
      <c r="Z488" s="345"/>
      <c r="AA488" s="385"/>
      <c r="AB488" s="345"/>
      <c r="AC488" s="345"/>
      <c r="AD488" s="345"/>
      <c r="AE488" s="68">
        <f t="shared" si="563"/>
        <v>0</v>
      </c>
      <c r="AF488" s="366">
        <v>2023</v>
      </c>
      <c r="AG488" s="358" t="s">
        <v>1090</v>
      </c>
      <c r="AH488" s="359"/>
      <c r="AI488" s="360"/>
      <c r="AJ488" s="360"/>
      <c r="AK488" s="360" t="str">
        <f t="shared" si="564"/>
        <v/>
      </c>
      <c r="AL488" s="18"/>
      <c r="AM488" s="360" t="str">
        <f t="shared" si="565"/>
        <v>2</v>
      </c>
      <c r="AN488" s="360" t="str">
        <f t="shared" si="512"/>
        <v>1</v>
      </c>
      <c r="AO488" s="360"/>
      <c r="AP488" s="346" t="str">
        <f t="shared" si="566"/>
        <v>2</v>
      </c>
      <c r="AQ488" s="360" t="str">
        <f t="shared" si="542"/>
        <v>2.1..2</v>
      </c>
      <c r="AR488" s="530"/>
      <c r="AS488" s="360"/>
      <c r="AT488" s="362"/>
      <c r="AU488" s="362"/>
      <c r="AV488" s="362"/>
      <c r="AW488" s="362"/>
      <c r="AX488" s="362"/>
      <c r="AY488" s="362"/>
      <c r="AZ488" s="362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</row>
    <row r="489" spans="1:68" ht="20.25" customHeight="1">
      <c r="A489" s="100">
        <v>81</v>
      </c>
      <c r="B489" s="100" t="s">
        <v>64</v>
      </c>
      <c r="C489" s="100" t="s">
        <v>2425</v>
      </c>
      <c r="D489" s="102" t="s">
        <v>878</v>
      </c>
      <c r="E489" s="100" t="str">
        <f t="shared" si="300"/>
        <v>Sama</v>
      </c>
      <c r="F489" s="63">
        <f t="shared" si="567"/>
        <v>454</v>
      </c>
      <c r="G489" s="63">
        <v>8</v>
      </c>
      <c r="H489" s="62" t="s">
        <v>64</v>
      </c>
      <c r="I489" s="62" t="s">
        <v>878</v>
      </c>
      <c r="J489" s="66">
        <v>0</v>
      </c>
      <c r="K489" s="533" t="s">
        <v>104</v>
      </c>
      <c r="L489" s="68">
        <f t="shared" si="559"/>
        <v>2840</v>
      </c>
      <c r="M489" s="63"/>
      <c r="N489" s="392" t="e">
        <f t="shared" si="560"/>
        <v>#VALUE!</v>
      </c>
      <c r="O489" s="382"/>
      <c r="P489" s="68"/>
      <c r="Q489" s="68"/>
      <c r="R489" s="68"/>
      <c r="S489" s="68">
        <f t="shared" si="561"/>
        <v>0</v>
      </c>
      <c r="T489" s="63"/>
      <c r="U489" s="347" t="s">
        <v>1809</v>
      </c>
      <c r="V489" s="370">
        <v>2840</v>
      </c>
      <c r="W489" s="370">
        <v>0</v>
      </c>
      <c r="X489" s="370">
        <v>0</v>
      </c>
      <c r="Y489" s="68">
        <f t="shared" si="562"/>
        <v>2840</v>
      </c>
      <c r="Z489" s="345"/>
      <c r="AA489" s="347"/>
      <c r="AB489" s="345"/>
      <c r="AC489" s="345"/>
      <c r="AD489" s="345"/>
      <c r="AE489" s="68">
        <f t="shared" si="563"/>
        <v>0</v>
      </c>
      <c r="AF489" s="366" t="s">
        <v>1097</v>
      </c>
      <c r="AG489" s="358"/>
      <c r="AH489" s="359"/>
      <c r="AI489" s="360"/>
      <c r="AJ489" s="360"/>
      <c r="AK489" s="360" t="str">
        <f t="shared" si="564"/>
        <v/>
      </c>
      <c r="AL489" s="18"/>
      <c r="AM489" s="360" t="e">
        <f t="shared" si="565"/>
        <v>#VALUE!</v>
      </c>
      <c r="AN489" s="360" t="str">
        <f t="shared" si="512"/>
        <v>2</v>
      </c>
      <c r="AO489" s="360"/>
      <c r="AP489" s="346" t="str">
        <f t="shared" si="566"/>
        <v>1</v>
      </c>
      <c r="AQ489" s="360" t="e">
        <f t="shared" si="542"/>
        <v>#VALUE!</v>
      </c>
      <c r="AR489" s="530"/>
      <c r="AS489" s="360"/>
      <c r="AT489" s="362"/>
      <c r="AU489" s="362"/>
      <c r="AV489" s="362"/>
      <c r="AW489" s="362"/>
      <c r="AX489" s="362"/>
      <c r="AY489" s="362"/>
      <c r="AZ489" s="362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</row>
    <row r="490" spans="1:68" ht="20.25" customHeight="1">
      <c r="A490" s="100">
        <v>81</v>
      </c>
      <c r="B490" s="100" t="s">
        <v>64</v>
      </c>
      <c r="C490" s="100" t="s">
        <v>2426</v>
      </c>
      <c r="D490" s="102" t="s">
        <v>880</v>
      </c>
      <c r="E490" s="100" t="str">
        <f t="shared" si="300"/>
        <v>Sama</v>
      </c>
      <c r="F490" s="63">
        <f t="shared" si="567"/>
        <v>455</v>
      </c>
      <c r="G490" s="63">
        <v>10</v>
      </c>
      <c r="H490" s="62" t="s">
        <v>64</v>
      </c>
      <c r="I490" s="62" t="s">
        <v>880</v>
      </c>
      <c r="J490" s="66">
        <v>988.61403650035447</v>
      </c>
      <c r="K490" s="533" t="s">
        <v>123</v>
      </c>
      <c r="L490" s="68">
        <f t="shared" si="559"/>
        <v>0</v>
      </c>
      <c r="M490" s="63"/>
      <c r="N490" s="392" t="e">
        <f t="shared" si="560"/>
        <v>#VALUE!</v>
      </c>
      <c r="O490" s="382"/>
      <c r="P490" s="68"/>
      <c r="Q490" s="68"/>
      <c r="R490" s="68"/>
      <c r="S490" s="68">
        <f t="shared" si="561"/>
        <v>0</v>
      </c>
      <c r="T490" s="63"/>
      <c r="U490" s="347" t="s">
        <v>837</v>
      </c>
      <c r="V490" s="631" t="s">
        <v>1813</v>
      </c>
      <c r="W490" s="564"/>
      <c r="X490" s="559"/>
      <c r="Y490" s="68"/>
      <c r="Z490" s="345"/>
      <c r="AA490" s="347"/>
      <c r="AB490" s="345"/>
      <c r="AC490" s="345"/>
      <c r="AD490" s="345"/>
      <c r="AE490" s="68"/>
      <c r="AF490" s="366" t="s">
        <v>1097</v>
      </c>
      <c r="AG490" s="358"/>
      <c r="AH490" s="359"/>
      <c r="AI490" s="360"/>
      <c r="AJ490" s="360"/>
      <c r="AK490" s="360" t="str">
        <f t="shared" si="564"/>
        <v/>
      </c>
      <c r="AL490" s="18"/>
      <c r="AM490" s="360" t="e">
        <f t="shared" si="565"/>
        <v>#VALUE!</v>
      </c>
      <c r="AN490" s="360" t="str">
        <f t="shared" si="512"/>
        <v>2</v>
      </c>
      <c r="AO490" s="360"/>
      <c r="AP490" s="346" t="str">
        <f t="shared" si="566"/>
        <v>2</v>
      </c>
      <c r="AQ490" s="360" t="e">
        <f t="shared" si="542"/>
        <v>#VALUE!</v>
      </c>
      <c r="AR490" s="530"/>
      <c r="AS490" s="360"/>
      <c r="AT490" s="362"/>
      <c r="AU490" s="362"/>
      <c r="AV490" s="362"/>
      <c r="AW490" s="362"/>
      <c r="AX490" s="362"/>
      <c r="AY490" s="362"/>
      <c r="AZ490" s="362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</row>
    <row r="491" spans="1:68" ht="20.25" customHeight="1">
      <c r="A491" s="100">
        <v>81</v>
      </c>
      <c r="B491" s="100" t="s">
        <v>64</v>
      </c>
      <c r="C491" s="100" t="s">
        <v>2427</v>
      </c>
      <c r="D491" s="102" t="s">
        <v>881</v>
      </c>
      <c r="E491" s="100" t="str">
        <f t="shared" si="300"/>
        <v>Sama</v>
      </c>
      <c r="F491" s="63">
        <f t="shared" si="567"/>
        <v>456</v>
      </c>
      <c r="G491" s="63">
        <v>11</v>
      </c>
      <c r="H491" s="62" t="s">
        <v>64</v>
      </c>
      <c r="I491" s="62" t="s">
        <v>881</v>
      </c>
      <c r="J491" s="66">
        <v>1846.5341213579313</v>
      </c>
      <c r="K491" s="533" t="s">
        <v>661</v>
      </c>
      <c r="L491" s="68">
        <f t="shared" si="559"/>
        <v>0</v>
      </c>
      <c r="M491" s="63"/>
      <c r="N491" s="392" t="e">
        <f t="shared" si="560"/>
        <v>#VALUE!</v>
      </c>
      <c r="O491" s="382"/>
      <c r="P491" s="68"/>
      <c r="Q491" s="68"/>
      <c r="R491" s="68"/>
      <c r="S491" s="68">
        <f t="shared" si="561"/>
        <v>0</v>
      </c>
      <c r="T491" s="63"/>
      <c r="U491" s="347"/>
      <c r="V491" s="370"/>
      <c r="W491" s="370"/>
      <c r="X491" s="370"/>
      <c r="Y491" s="68">
        <f>IF(X491&gt;0,X491,IF(V491&gt;0,V491,0))</f>
        <v>0</v>
      </c>
      <c r="Z491" s="345"/>
      <c r="AA491" s="347"/>
      <c r="AB491" s="345"/>
      <c r="AC491" s="345"/>
      <c r="AD491" s="345"/>
      <c r="AE491" s="68">
        <f>IF(AD491&gt;0,AD491,IF(AB491&gt;0,AB491,0))</f>
        <v>0</v>
      </c>
      <c r="AF491" s="366" t="s">
        <v>1097</v>
      </c>
      <c r="AG491" s="358"/>
      <c r="AH491" s="359"/>
      <c r="AI491" s="360"/>
      <c r="AJ491" s="360"/>
      <c r="AK491" s="360" t="str">
        <f t="shared" si="564"/>
        <v/>
      </c>
      <c r="AL491" s="18"/>
      <c r="AM491" s="360" t="e">
        <f t="shared" si="565"/>
        <v>#VALUE!</v>
      </c>
      <c r="AN491" s="360" t="str">
        <f t="shared" si="512"/>
        <v>2</v>
      </c>
      <c r="AO491" s="360"/>
      <c r="AP491" s="346" t="str">
        <f t="shared" si="566"/>
        <v>2</v>
      </c>
      <c r="AQ491" s="360" t="e">
        <f t="shared" si="542"/>
        <v>#VALUE!</v>
      </c>
      <c r="AR491" s="530"/>
      <c r="AS491" s="360"/>
      <c r="AT491" s="362"/>
      <c r="AU491" s="362"/>
      <c r="AV491" s="362"/>
      <c r="AW491" s="362"/>
      <c r="AX491" s="362"/>
      <c r="AY491" s="362"/>
      <c r="AZ491" s="362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</row>
    <row r="492" spans="1:68" ht="20.25" customHeight="1">
      <c r="A492" s="100">
        <v>82</v>
      </c>
      <c r="B492" s="100" t="s">
        <v>65</v>
      </c>
      <c r="C492" s="100">
        <v>82</v>
      </c>
      <c r="D492" s="102" t="s">
        <v>2428</v>
      </c>
      <c r="E492" s="100" t="str">
        <f t="shared" si="300"/>
        <v>Sama</v>
      </c>
      <c r="F492" s="63"/>
      <c r="G492" s="341"/>
      <c r="H492" s="379"/>
      <c r="I492" s="379" t="s">
        <v>2428</v>
      </c>
      <c r="J492" s="380">
        <f>SUM(J493:J502)</f>
        <v>13542.439310869911</v>
      </c>
      <c r="K492" s="353">
        <f>COUNTIF(K493:K502,"D") + COUNTIF(K493:K502,"DS")</f>
        <v>7</v>
      </c>
      <c r="L492" s="383">
        <f>SUBTOTAL(9,L493:L502)</f>
        <v>50162.86</v>
      </c>
      <c r="M492" s="342"/>
      <c r="N492" s="355"/>
      <c r="O492" s="356"/>
      <c r="P492" s="383">
        <f t="shared" ref="P492:S492" si="568">SUBTOTAL(9,P493:P501)</f>
        <v>48522.2</v>
      </c>
      <c r="Q492" s="383">
        <f t="shared" si="568"/>
        <v>0</v>
      </c>
      <c r="R492" s="383">
        <f t="shared" si="568"/>
        <v>48522.2</v>
      </c>
      <c r="S492" s="383">
        <f t="shared" si="568"/>
        <v>48522.2</v>
      </c>
      <c r="T492" s="342"/>
      <c r="U492" s="351"/>
      <c r="V492" s="384">
        <v>0</v>
      </c>
      <c r="W492" s="384">
        <v>0</v>
      </c>
      <c r="X492" s="384">
        <v>0</v>
      </c>
      <c r="Y492" s="383">
        <f>SUBTOTAL(9,Y493:Y501)</f>
        <v>31510.355</v>
      </c>
      <c r="Z492" s="337">
        <v>1</v>
      </c>
      <c r="AA492" s="351">
        <v>1</v>
      </c>
      <c r="AB492" s="337">
        <v>0</v>
      </c>
      <c r="AC492" s="337">
        <v>0</v>
      </c>
      <c r="AD492" s="337">
        <v>0</v>
      </c>
      <c r="AE492" s="383">
        <f>SUBTOTAL(9,AE493:AE501)</f>
        <v>1640.66</v>
      </c>
      <c r="AF492" s="357" t="s">
        <v>1138</v>
      </c>
      <c r="AG492" s="358"/>
      <c r="AH492" s="359"/>
      <c r="AI492" s="360"/>
      <c r="AJ492" s="360"/>
      <c r="AK492" s="361">
        <f>COUNTIF(AK493:AK502,"V") + COUNTIF(AK493:AK502,"VV") + COUNTIF(AK493:AK502,"VVV")</f>
        <v>2</v>
      </c>
      <c r="AL492" s="18"/>
      <c r="AM492" s="360"/>
      <c r="AN492" s="360" t="str">
        <f t="shared" si="512"/>
        <v>1</v>
      </c>
      <c r="AO492" s="360"/>
      <c r="AP492" s="346"/>
      <c r="AQ492" s="360" t="str">
        <f t="shared" si="542"/>
        <v>.1..</v>
      </c>
      <c r="AR492" s="530"/>
      <c r="AS492" s="360"/>
      <c r="AT492" s="362"/>
      <c r="AU492" s="362"/>
      <c r="AV492" s="362"/>
      <c r="AW492" s="362"/>
      <c r="AX492" s="362"/>
      <c r="AY492" s="362"/>
      <c r="AZ492" s="362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</row>
    <row r="493" spans="1:68" ht="20.25" customHeight="1">
      <c r="A493" s="100">
        <v>82</v>
      </c>
      <c r="B493" s="100" t="s">
        <v>65</v>
      </c>
      <c r="C493" s="100" t="s">
        <v>2429</v>
      </c>
      <c r="D493" s="102" t="s">
        <v>883</v>
      </c>
      <c r="E493" s="100" t="str">
        <f t="shared" si="300"/>
        <v>Sama</v>
      </c>
      <c r="F493" s="63">
        <f t="shared" ref="F493:F502" si="569">SUBTOTAL(3,$G$7:G493)</f>
        <v>457</v>
      </c>
      <c r="G493" s="63">
        <v>1</v>
      </c>
      <c r="H493" s="62" t="s">
        <v>65</v>
      </c>
      <c r="I493" s="62" t="s">
        <v>883</v>
      </c>
      <c r="J493" s="66">
        <v>1128.353817535469</v>
      </c>
      <c r="K493" s="533" t="s">
        <v>104</v>
      </c>
      <c r="L493" s="68">
        <f t="shared" ref="L493:L502" si="570">IF(S493&gt;0,S493,IF(Y493&gt;0,Y493,IF(AE493&gt;0,AE493,0)))</f>
        <v>16109</v>
      </c>
      <c r="M493" s="63"/>
      <c r="N493" s="392">
        <f t="shared" ref="N493:N502" si="571">VALUE(RIGHT(O493,4))</f>
        <v>2012</v>
      </c>
      <c r="O493" s="382" t="s">
        <v>884</v>
      </c>
      <c r="P493" s="68">
        <v>16109</v>
      </c>
      <c r="Q493" s="68">
        <v>0</v>
      </c>
      <c r="R493" s="68">
        <v>16109</v>
      </c>
      <c r="S493" s="68">
        <f t="shared" ref="S493:S502" si="572">IF(R493&gt;0,R493,IF(P493&gt;0,P493,0))</f>
        <v>16109</v>
      </c>
      <c r="T493" s="63"/>
      <c r="U493" s="347"/>
      <c r="V493" s="370"/>
      <c r="W493" s="370"/>
      <c r="X493" s="370"/>
      <c r="Y493" s="68">
        <f t="shared" ref="Y493:Y500" si="573">IF(X493&gt;0,X493,IF(V493&gt;0,V493,0))</f>
        <v>0</v>
      </c>
      <c r="Z493" s="345"/>
      <c r="AA493" s="347"/>
      <c r="AB493" s="345"/>
      <c r="AC493" s="345"/>
      <c r="AD493" s="345"/>
      <c r="AE493" s="68">
        <f t="shared" ref="AE493:AE502" si="574">IF(AD493&gt;0,AD493,IF(AB493&gt;0,AB493,0))</f>
        <v>0</v>
      </c>
      <c r="AF493" s="366" t="s">
        <v>1097</v>
      </c>
      <c r="AG493" s="358"/>
      <c r="AH493" s="359"/>
      <c r="AI493" s="360"/>
      <c r="AJ493" s="360"/>
      <c r="AK493" s="360" t="str">
        <f t="shared" ref="AK493:AK502" si="575">CONCATENATE(M493,T493,Z493)</f>
        <v/>
      </c>
      <c r="AL493" s="18"/>
      <c r="AM493" s="360" t="str">
        <f t="shared" ref="AM493:AM502" si="576">IF(N493=0,"3",IF(N493&lt;=2018,"2","1"))</f>
        <v>2</v>
      </c>
      <c r="AN493" s="360" t="str">
        <f t="shared" si="512"/>
        <v>1</v>
      </c>
      <c r="AO493" s="360"/>
      <c r="AP493" s="346" t="str">
        <f t="shared" ref="AP493:AP502" si="577">IF(Y493&gt;0,"1",IF(AE493&gt;0,"1","2"))</f>
        <v>2</v>
      </c>
      <c r="AQ493" s="360" t="str">
        <f t="shared" si="542"/>
        <v>2.1..2</v>
      </c>
      <c r="AR493" s="530"/>
      <c r="AS493" s="360"/>
      <c r="AT493" s="362"/>
      <c r="AU493" s="362"/>
      <c r="AV493" s="362"/>
      <c r="AW493" s="362"/>
      <c r="AX493" s="362"/>
      <c r="AY493" s="362"/>
      <c r="AZ493" s="362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</row>
    <row r="494" spans="1:68" ht="20.25" customHeight="1">
      <c r="A494" s="100">
        <v>82</v>
      </c>
      <c r="B494" s="100" t="s">
        <v>65</v>
      </c>
      <c r="C494" s="100" t="s">
        <v>2430</v>
      </c>
      <c r="D494" s="102" t="s">
        <v>885</v>
      </c>
      <c r="E494" s="100" t="str">
        <f t="shared" si="300"/>
        <v>Sama</v>
      </c>
      <c r="F494" s="63">
        <f t="shared" si="569"/>
        <v>458</v>
      </c>
      <c r="G494" s="63">
        <v>2</v>
      </c>
      <c r="H494" s="62" t="s">
        <v>65</v>
      </c>
      <c r="I494" s="62" t="s">
        <v>885</v>
      </c>
      <c r="J494" s="66">
        <v>1089.8789091788151</v>
      </c>
      <c r="K494" s="533" t="s">
        <v>104</v>
      </c>
      <c r="L494" s="68">
        <f t="shared" si="570"/>
        <v>9943.9499999999989</v>
      </c>
      <c r="M494" s="63"/>
      <c r="N494" s="392">
        <f t="shared" si="571"/>
        <v>2012</v>
      </c>
      <c r="O494" s="382" t="s">
        <v>850</v>
      </c>
      <c r="P494" s="68">
        <v>9943.9499999999989</v>
      </c>
      <c r="Q494" s="68">
        <v>0</v>
      </c>
      <c r="R494" s="68">
        <v>9943.9499999999989</v>
      </c>
      <c r="S494" s="68">
        <f t="shared" si="572"/>
        <v>9943.9499999999989</v>
      </c>
      <c r="T494" s="63"/>
      <c r="U494" s="347"/>
      <c r="V494" s="370"/>
      <c r="W494" s="370"/>
      <c r="X494" s="370"/>
      <c r="Y494" s="68">
        <f t="shared" si="573"/>
        <v>0</v>
      </c>
      <c r="Z494" s="345"/>
      <c r="AA494" s="347"/>
      <c r="AB494" s="345"/>
      <c r="AC494" s="345"/>
      <c r="AD494" s="345"/>
      <c r="AE494" s="68">
        <f t="shared" si="574"/>
        <v>0</v>
      </c>
      <c r="AF494" s="366" t="s">
        <v>1818</v>
      </c>
      <c r="AG494" s="358"/>
      <c r="AH494" s="359"/>
      <c r="AI494" s="360"/>
      <c r="AJ494" s="360" t="s">
        <v>1819</v>
      </c>
      <c r="AK494" s="360" t="str">
        <f t="shared" si="575"/>
        <v/>
      </c>
      <c r="AL494" s="18"/>
      <c r="AM494" s="360" t="str">
        <f t="shared" si="576"/>
        <v>2</v>
      </c>
      <c r="AN494" s="360" t="str">
        <f t="shared" si="512"/>
        <v>1</v>
      </c>
      <c r="AO494" s="360"/>
      <c r="AP494" s="346" t="str">
        <f t="shared" si="577"/>
        <v>2</v>
      </c>
      <c r="AQ494" s="360" t="str">
        <f t="shared" si="542"/>
        <v>2.1..2</v>
      </c>
      <c r="AR494" s="530"/>
      <c r="AS494" s="360"/>
      <c r="AT494" s="362"/>
      <c r="AU494" s="362"/>
      <c r="AV494" s="362"/>
      <c r="AW494" s="362"/>
      <c r="AX494" s="362"/>
      <c r="AY494" s="362"/>
      <c r="AZ494" s="362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</row>
    <row r="495" spans="1:68" ht="20.25" customHeight="1">
      <c r="A495" s="100">
        <v>82</v>
      </c>
      <c r="B495" s="100" t="s">
        <v>65</v>
      </c>
      <c r="C495" s="100" t="s">
        <v>2431</v>
      </c>
      <c r="D495" s="102" t="s">
        <v>886</v>
      </c>
      <c r="E495" s="100" t="str">
        <f t="shared" si="300"/>
        <v>Sama</v>
      </c>
      <c r="F495" s="63">
        <f t="shared" si="569"/>
        <v>459</v>
      </c>
      <c r="G495" s="63">
        <v>3</v>
      </c>
      <c r="H495" s="62" t="s">
        <v>65</v>
      </c>
      <c r="I495" s="62" t="s">
        <v>886</v>
      </c>
      <c r="J495" s="66">
        <v>1513.2007056730074</v>
      </c>
      <c r="K495" s="533" t="s">
        <v>104</v>
      </c>
      <c r="L495" s="68">
        <f t="shared" si="570"/>
        <v>3609.25</v>
      </c>
      <c r="M495" s="63"/>
      <c r="N495" s="392">
        <f t="shared" si="571"/>
        <v>2012</v>
      </c>
      <c r="O495" s="382" t="s">
        <v>315</v>
      </c>
      <c r="P495" s="68">
        <v>3609.25</v>
      </c>
      <c r="Q495" s="68">
        <v>0</v>
      </c>
      <c r="R495" s="68">
        <v>3609.25</v>
      </c>
      <c r="S495" s="68">
        <f t="shared" si="572"/>
        <v>3609.25</v>
      </c>
      <c r="T495" s="63"/>
      <c r="U495" s="347"/>
      <c r="V495" s="370"/>
      <c r="W495" s="370"/>
      <c r="X495" s="370"/>
      <c r="Y495" s="68">
        <f t="shared" si="573"/>
        <v>0</v>
      </c>
      <c r="Z495" s="345"/>
      <c r="AA495" s="347"/>
      <c r="AB495" s="345"/>
      <c r="AC495" s="345"/>
      <c r="AD495" s="345"/>
      <c r="AE495" s="68">
        <f t="shared" si="574"/>
        <v>0</v>
      </c>
      <c r="AF495" s="366" t="s">
        <v>1097</v>
      </c>
      <c r="AG495" s="358"/>
      <c r="AH495" s="359"/>
      <c r="AI495" s="360"/>
      <c r="AJ495" s="360"/>
      <c r="AK495" s="360" t="str">
        <f t="shared" si="575"/>
        <v/>
      </c>
      <c r="AL495" s="18"/>
      <c r="AM495" s="360" t="str">
        <f t="shared" si="576"/>
        <v>2</v>
      </c>
      <c r="AN495" s="360" t="str">
        <f t="shared" si="512"/>
        <v>1</v>
      </c>
      <c r="AO495" s="360"/>
      <c r="AP495" s="346" t="str">
        <f t="shared" si="577"/>
        <v>2</v>
      </c>
      <c r="AQ495" s="360" t="str">
        <f t="shared" si="542"/>
        <v>2.1..2</v>
      </c>
      <c r="AR495" s="530"/>
      <c r="AS495" s="360"/>
      <c r="AT495" s="362"/>
      <c r="AU495" s="362"/>
      <c r="AV495" s="362"/>
      <c r="AW495" s="362"/>
      <c r="AX495" s="362"/>
      <c r="AY495" s="362"/>
      <c r="AZ495" s="362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</row>
    <row r="496" spans="1:68" ht="20.25" customHeight="1">
      <c r="A496" s="100">
        <v>82</v>
      </c>
      <c r="B496" s="100" t="s">
        <v>65</v>
      </c>
      <c r="C496" s="100" t="s">
        <v>2432</v>
      </c>
      <c r="D496" s="102" t="s">
        <v>887</v>
      </c>
      <c r="E496" s="100" t="str">
        <f t="shared" si="300"/>
        <v>Sama</v>
      </c>
      <c r="F496" s="63">
        <f t="shared" si="569"/>
        <v>460</v>
      </c>
      <c r="G496" s="63">
        <v>4</v>
      </c>
      <c r="H496" s="62" t="s">
        <v>65</v>
      </c>
      <c r="I496" s="62" t="s">
        <v>887</v>
      </c>
      <c r="J496" s="66">
        <v>5913.6504879848308</v>
      </c>
      <c r="K496" s="533" t="s">
        <v>104</v>
      </c>
      <c r="L496" s="68">
        <f t="shared" si="570"/>
        <v>2128</v>
      </c>
      <c r="M496" s="63"/>
      <c r="N496" s="392">
        <f t="shared" si="571"/>
        <v>2012</v>
      </c>
      <c r="O496" s="382" t="s">
        <v>323</v>
      </c>
      <c r="P496" s="68">
        <v>2128</v>
      </c>
      <c r="Q496" s="68">
        <v>0</v>
      </c>
      <c r="R496" s="68">
        <v>2128</v>
      </c>
      <c r="S496" s="68">
        <f t="shared" si="572"/>
        <v>2128</v>
      </c>
      <c r="T496" s="63"/>
      <c r="U496" s="347"/>
      <c r="V496" s="370"/>
      <c r="W496" s="370"/>
      <c r="X496" s="370"/>
      <c r="Y496" s="68">
        <f t="shared" si="573"/>
        <v>0</v>
      </c>
      <c r="Z496" s="345"/>
      <c r="AA496" s="347"/>
      <c r="AB496" s="345"/>
      <c r="AC496" s="345"/>
      <c r="AD496" s="345"/>
      <c r="AE496" s="68">
        <f t="shared" si="574"/>
        <v>0</v>
      </c>
      <c r="AF496" s="366" t="s">
        <v>1097</v>
      </c>
      <c r="AG496" s="358"/>
      <c r="AH496" s="359"/>
      <c r="AI496" s="360"/>
      <c r="AJ496" s="360"/>
      <c r="AK496" s="360" t="str">
        <f t="shared" si="575"/>
        <v/>
      </c>
      <c r="AL496" s="18"/>
      <c r="AM496" s="360" t="str">
        <f t="shared" si="576"/>
        <v>2</v>
      </c>
      <c r="AN496" s="360" t="str">
        <f t="shared" si="512"/>
        <v>1</v>
      </c>
      <c r="AO496" s="360"/>
      <c r="AP496" s="346" t="str">
        <f t="shared" si="577"/>
        <v>2</v>
      </c>
      <c r="AQ496" s="360" t="str">
        <f t="shared" si="542"/>
        <v>2.1..2</v>
      </c>
      <c r="AR496" s="530"/>
      <c r="AS496" s="360"/>
      <c r="AT496" s="362"/>
      <c r="AU496" s="362"/>
      <c r="AV496" s="362"/>
      <c r="AW496" s="362"/>
      <c r="AX496" s="362"/>
      <c r="AY496" s="362"/>
      <c r="AZ496" s="362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</row>
    <row r="497" spans="1:68" ht="20.25" customHeight="1">
      <c r="A497" s="100">
        <v>82</v>
      </c>
      <c r="B497" s="100" t="s">
        <v>65</v>
      </c>
      <c r="C497" s="100" t="s">
        <v>2433</v>
      </c>
      <c r="D497" s="102" t="s">
        <v>888</v>
      </c>
      <c r="E497" s="100" t="str">
        <f t="shared" si="300"/>
        <v>Sama</v>
      </c>
      <c r="F497" s="63">
        <f t="shared" si="569"/>
        <v>461</v>
      </c>
      <c r="G497" s="63">
        <v>5</v>
      </c>
      <c r="H497" s="62" t="s">
        <v>65</v>
      </c>
      <c r="I497" s="62" t="s">
        <v>888</v>
      </c>
      <c r="J497" s="66">
        <v>1820.5066075184188</v>
      </c>
      <c r="K497" s="533" t="s">
        <v>91</v>
      </c>
      <c r="L497" s="68">
        <f t="shared" si="570"/>
        <v>1640.66</v>
      </c>
      <c r="M497" s="63"/>
      <c r="N497" s="392" t="e">
        <f t="shared" si="571"/>
        <v>#VALUE!</v>
      </c>
      <c r="O497" s="382"/>
      <c r="P497" s="68"/>
      <c r="Q497" s="68"/>
      <c r="R497" s="68"/>
      <c r="S497" s="68">
        <f t="shared" si="572"/>
        <v>0</v>
      </c>
      <c r="T497" s="63"/>
      <c r="U497" s="347"/>
      <c r="V497" s="370"/>
      <c r="W497" s="370"/>
      <c r="X497" s="370"/>
      <c r="Y497" s="68">
        <f t="shared" si="573"/>
        <v>0</v>
      </c>
      <c r="Z497" s="345" t="s">
        <v>1076</v>
      </c>
      <c r="AA497" s="531" t="s">
        <v>889</v>
      </c>
      <c r="AB497" s="345">
        <v>1640.66</v>
      </c>
      <c r="AC497" s="345"/>
      <c r="AD497" s="345"/>
      <c r="AE497" s="68">
        <f t="shared" si="574"/>
        <v>1640.66</v>
      </c>
      <c r="AF497" s="366">
        <v>2020</v>
      </c>
      <c r="AG497" s="358"/>
      <c r="AH497" s="359"/>
      <c r="AI497" s="360"/>
      <c r="AJ497" s="360"/>
      <c r="AK497" s="360" t="str">
        <f t="shared" si="575"/>
        <v>V</v>
      </c>
      <c r="AL497" s="18"/>
      <c r="AM497" s="360" t="e">
        <f t="shared" si="576"/>
        <v>#VALUE!</v>
      </c>
      <c r="AN497" s="360" t="str">
        <f t="shared" si="512"/>
        <v>2</v>
      </c>
      <c r="AO497" s="360"/>
      <c r="AP497" s="346" t="str">
        <f t="shared" si="577"/>
        <v>1</v>
      </c>
      <c r="AQ497" s="360" t="e">
        <f t="shared" si="542"/>
        <v>#VALUE!</v>
      </c>
      <c r="AR497" s="530"/>
      <c r="AS497" s="362" t="s">
        <v>2434</v>
      </c>
      <c r="AT497" s="367">
        <v>1821</v>
      </c>
      <c r="AU497" s="367">
        <v>1641</v>
      </c>
      <c r="AV497" s="368">
        <f>AU497/AT497</f>
        <v>0.90115321252059311</v>
      </c>
      <c r="AW497" s="367">
        <v>1625</v>
      </c>
      <c r="AX497" s="368">
        <f>AW497/AT497</f>
        <v>0.89236683141131246</v>
      </c>
      <c r="AY497" s="362">
        <v>196</v>
      </c>
      <c r="AZ497" s="368">
        <f>AY497/AT497</f>
        <v>0.10763316858868753</v>
      </c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</row>
    <row r="498" spans="1:68" ht="20.25" customHeight="1">
      <c r="A498" s="100">
        <v>82</v>
      </c>
      <c r="B498" s="100" t="s">
        <v>65</v>
      </c>
      <c r="C498" s="100" t="s">
        <v>2435</v>
      </c>
      <c r="D498" s="102" t="s">
        <v>890</v>
      </c>
      <c r="E498" s="100" t="str">
        <f t="shared" si="300"/>
        <v>Sama</v>
      </c>
      <c r="F498" s="63">
        <f t="shared" si="569"/>
        <v>462</v>
      </c>
      <c r="G498" s="63">
        <v>6</v>
      </c>
      <c r="H498" s="62" t="s">
        <v>65</v>
      </c>
      <c r="I498" s="62" t="s">
        <v>890</v>
      </c>
      <c r="J498" s="66">
        <v>75.132334811553008</v>
      </c>
      <c r="K498" s="533" t="s">
        <v>104</v>
      </c>
      <c r="L498" s="68">
        <f t="shared" si="570"/>
        <v>0</v>
      </c>
      <c r="M498" s="63"/>
      <c r="N498" s="392">
        <f t="shared" si="571"/>
        <v>2011</v>
      </c>
      <c r="O498" s="382" t="s">
        <v>631</v>
      </c>
      <c r="P498" s="68">
        <v>0</v>
      </c>
      <c r="Q498" s="68">
        <v>0</v>
      </c>
      <c r="R498" s="68">
        <v>0</v>
      </c>
      <c r="S498" s="68">
        <f t="shared" si="572"/>
        <v>0</v>
      </c>
      <c r="T498" s="63"/>
      <c r="U498" s="347"/>
      <c r="V498" s="370"/>
      <c r="W498" s="370"/>
      <c r="X498" s="370"/>
      <c r="Y498" s="68">
        <f t="shared" si="573"/>
        <v>0</v>
      </c>
      <c r="Z498" s="345"/>
      <c r="AA498" s="347"/>
      <c r="AB498" s="345"/>
      <c r="AC498" s="345"/>
      <c r="AD498" s="345"/>
      <c r="AE498" s="68">
        <f t="shared" si="574"/>
        <v>0</v>
      </c>
      <c r="AF498" s="366" t="s">
        <v>1097</v>
      </c>
      <c r="AG498" s="358"/>
      <c r="AH498" s="359"/>
      <c r="AI498" s="360"/>
      <c r="AJ498" s="360"/>
      <c r="AK498" s="360" t="str">
        <f t="shared" si="575"/>
        <v/>
      </c>
      <c r="AL498" s="18"/>
      <c r="AM498" s="360" t="str">
        <f t="shared" si="576"/>
        <v>2</v>
      </c>
      <c r="AN498" s="360" t="str">
        <f t="shared" si="512"/>
        <v>2</v>
      </c>
      <c r="AO498" s="360"/>
      <c r="AP498" s="346" t="str">
        <f t="shared" si="577"/>
        <v>2</v>
      </c>
      <c r="AQ498" s="360" t="str">
        <f t="shared" si="542"/>
        <v>2.2..2</v>
      </c>
      <c r="AR498" s="530"/>
      <c r="AS498" s="360"/>
      <c r="AT498" s="362"/>
      <c r="AU498" s="362"/>
      <c r="AV498" s="362"/>
      <c r="AW498" s="362"/>
      <c r="AX498" s="362"/>
      <c r="AY498" s="362"/>
      <c r="AZ498" s="362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</row>
    <row r="499" spans="1:68" ht="20.25" customHeight="1">
      <c r="A499" s="100">
        <v>82</v>
      </c>
      <c r="B499" s="100" t="s">
        <v>65</v>
      </c>
      <c r="C499" s="100" t="s">
        <v>2436</v>
      </c>
      <c r="D499" s="102" t="s">
        <v>891</v>
      </c>
      <c r="E499" s="100" t="str">
        <f t="shared" si="300"/>
        <v>Sama</v>
      </c>
      <c r="F499" s="63">
        <f t="shared" si="569"/>
        <v>463</v>
      </c>
      <c r="G499" s="63">
        <v>7</v>
      </c>
      <c r="H499" s="62" t="s">
        <v>65</v>
      </c>
      <c r="I499" s="62" t="s">
        <v>891</v>
      </c>
      <c r="J499" s="66">
        <v>0</v>
      </c>
      <c r="K499" s="533" t="s">
        <v>661</v>
      </c>
      <c r="L499" s="68">
        <f t="shared" si="570"/>
        <v>0</v>
      </c>
      <c r="M499" s="63"/>
      <c r="N499" s="392" t="e">
        <f t="shared" si="571"/>
        <v>#VALUE!</v>
      </c>
      <c r="O499" s="382"/>
      <c r="P499" s="68"/>
      <c r="Q499" s="68"/>
      <c r="R499" s="68"/>
      <c r="S499" s="68">
        <f t="shared" si="572"/>
        <v>0</v>
      </c>
      <c r="T499" s="63"/>
      <c r="U499" s="347"/>
      <c r="V499" s="370"/>
      <c r="W499" s="370"/>
      <c r="X499" s="370"/>
      <c r="Y499" s="68">
        <f t="shared" si="573"/>
        <v>0</v>
      </c>
      <c r="Z499" s="345"/>
      <c r="AA499" s="347"/>
      <c r="AB499" s="345"/>
      <c r="AC499" s="345"/>
      <c r="AD499" s="345"/>
      <c r="AE499" s="68">
        <f t="shared" si="574"/>
        <v>0</v>
      </c>
      <c r="AF499" s="366" t="s">
        <v>1097</v>
      </c>
      <c r="AG499" s="358"/>
      <c r="AH499" s="359"/>
      <c r="AI499" s="360"/>
      <c r="AJ499" s="360"/>
      <c r="AK499" s="360" t="str">
        <f t="shared" si="575"/>
        <v/>
      </c>
      <c r="AL499" s="18"/>
      <c r="AM499" s="360" t="e">
        <f t="shared" si="576"/>
        <v>#VALUE!</v>
      </c>
      <c r="AN499" s="360" t="str">
        <f t="shared" si="512"/>
        <v>2</v>
      </c>
      <c r="AO499" s="360"/>
      <c r="AP499" s="346" t="str">
        <f t="shared" si="577"/>
        <v>2</v>
      </c>
      <c r="AQ499" s="360" t="e">
        <f t="shared" si="542"/>
        <v>#VALUE!</v>
      </c>
      <c r="AR499" s="530"/>
      <c r="AS499" s="360"/>
      <c r="AT499" s="362"/>
      <c r="AU499" s="362"/>
      <c r="AV499" s="362"/>
      <c r="AW499" s="362"/>
      <c r="AX499" s="362"/>
      <c r="AY499" s="362"/>
      <c r="AZ499" s="362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</row>
    <row r="500" spans="1:68" ht="20.25" customHeight="1">
      <c r="A500" s="100">
        <v>82</v>
      </c>
      <c r="B500" s="100" t="s">
        <v>65</v>
      </c>
      <c r="C500" s="100" t="s">
        <v>2437</v>
      </c>
      <c r="D500" s="102" t="s">
        <v>892</v>
      </c>
      <c r="E500" s="100" t="str">
        <f t="shared" si="300"/>
        <v>Sama</v>
      </c>
      <c r="F500" s="63">
        <f t="shared" si="569"/>
        <v>464</v>
      </c>
      <c r="G500" s="63">
        <v>8</v>
      </c>
      <c r="H500" s="62" t="s">
        <v>65</v>
      </c>
      <c r="I500" s="62" t="s">
        <v>892</v>
      </c>
      <c r="J500" s="66">
        <v>447.91119367512329</v>
      </c>
      <c r="K500" s="533" t="s">
        <v>661</v>
      </c>
      <c r="L500" s="68">
        <f t="shared" si="570"/>
        <v>0</v>
      </c>
      <c r="M500" s="63"/>
      <c r="N500" s="392" t="e">
        <f t="shared" si="571"/>
        <v>#VALUE!</v>
      </c>
      <c r="O500" s="382"/>
      <c r="P500" s="68"/>
      <c r="Q500" s="68"/>
      <c r="R500" s="68"/>
      <c r="S500" s="68">
        <f t="shared" si="572"/>
        <v>0</v>
      </c>
      <c r="T500" s="63"/>
      <c r="U500" s="347"/>
      <c r="V500" s="370"/>
      <c r="W500" s="370"/>
      <c r="X500" s="370"/>
      <c r="Y500" s="68">
        <f t="shared" si="573"/>
        <v>0</v>
      </c>
      <c r="Z500" s="345"/>
      <c r="AA500" s="347"/>
      <c r="AB500" s="345"/>
      <c r="AC500" s="345"/>
      <c r="AD500" s="345"/>
      <c r="AE500" s="68">
        <f t="shared" si="574"/>
        <v>0</v>
      </c>
      <c r="AF500" s="366" t="s">
        <v>1818</v>
      </c>
      <c r="AG500" s="358"/>
      <c r="AH500" s="359"/>
      <c r="AI500" s="360"/>
      <c r="AJ500" s="360" t="s">
        <v>1826</v>
      </c>
      <c r="AK500" s="360" t="str">
        <f t="shared" si="575"/>
        <v/>
      </c>
      <c r="AL500" s="18"/>
      <c r="AM500" s="360" t="e">
        <f t="shared" si="576"/>
        <v>#VALUE!</v>
      </c>
      <c r="AN500" s="360" t="str">
        <f t="shared" si="512"/>
        <v>2</v>
      </c>
      <c r="AO500" s="360"/>
      <c r="AP500" s="346" t="str">
        <f t="shared" si="577"/>
        <v>2</v>
      </c>
      <c r="AQ500" s="360" t="e">
        <f t="shared" si="542"/>
        <v>#VALUE!</v>
      </c>
      <c r="AR500" s="530"/>
      <c r="AS500" s="360"/>
      <c r="AT500" s="362"/>
      <c r="AU500" s="362"/>
      <c r="AV500" s="362"/>
      <c r="AW500" s="362"/>
      <c r="AX500" s="362"/>
      <c r="AY500" s="362"/>
      <c r="AZ500" s="362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</row>
    <row r="501" spans="1:68" ht="20.25" customHeight="1">
      <c r="A501" s="100">
        <v>82</v>
      </c>
      <c r="B501" s="100" t="s">
        <v>65</v>
      </c>
      <c r="C501" s="100" t="s">
        <v>2438</v>
      </c>
      <c r="D501" s="102" t="s">
        <v>894</v>
      </c>
      <c r="E501" s="100" t="str">
        <f t="shared" si="300"/>
        <v>Sama</v>
      </c>
      <c r="F501" s="63">
        <f t="shared" si="569"/>
        <v>465</v>
      </c>
      <c r="G501" s="63">
        <v>9</v>
      </c>
      <c r="H501" s="62" t="s">
        <v>65</v>
      </c>
      <c r="I501" s="62" t="s">
        <v>894</v>
      </c>
      <c r="J501" s="66">
        <v>1369.0081705637426</v>
      </c>
      <c r="K501" s="533" t="s">
        <v>91</v>
      </c>
      <c r="L501" s="68">
        <f t="shared" si="570"/>
        <v>16732</v>
      </c>
      <c r="M501" s="63"/>
      <c r="N501" s="392">
        <f t="shared" si="571"/>
        <v>2012</v>
      </c>
      <c r="O501" s="382" t="s">
        <v>1201</v>
      </c>
      <c r="P501" s="68">
        <v>16732</v>
      </c>
      <c r="Q501" s="68">
        <v>0</v>
      </c>
      <c r="R501" s="68">
        <v>16732</v>
      </c>
      <c r="S501" s="68">
        <f t="shared" si="572"/>
        <v>16732</v>
      </c>
      <c r="T501" s="63" t="s">
        <v>1076</v>
      </c>
      <c r="U501" s="531" t="s">
        <v>153</v>
      </c>
      <c r="V501" s="370">
        <v>1645.7550000000001</v>
      </c>
      <c r="W501" s="370">
        <v>29864.6</v>
      </c>
      <c r="X501" s="370"/>
      <c r="Y501" s="68">
        <f>V501+W501</f>
        <v>31510.355</v>
      </c>
      <c r="Z501" s="345"/>
      <c r="AA501" s="347"/>
      <c r="AB501" s="345"/>
      <c r="AC501" s="345"/>
      <c r="AD501" s="345"/>
      <c r="AE501" s="68">
        <f t="shared" si="574"/>
        <v>0</v>
      </c>
      <c r="AF501" s="366" t="s">
        <v>1818</v>
      </c>
      <c r="AG501" s="358"/>
      <c r="AH501" s="359"/>
      <c r="AI501" s="360"/>
      <c r="AJ501" s="360" t="s">
        <v>1828</v>
      </c>
      <c r="AK501" s="360" t="str">
        <f t="shared" si="575"/>
        <v>V</v>
      </c>
      <c r="AL501" s="18"/>
      <c r="AM501" s="360" t="str">
        <f t="shared" si="576"/>
        <v>2</v>
      </c>
      <c r="AN501" s="360" t="str">
        <f t="shared" si="512"/>
        <v>1</v>
      </c>
      <c r="AO501" s="360"/>
      <c r="AP501" s="346" t="str">
        <f t="shared" si="577"/>
        <v>1</v>
      </c>
      <c r="AQ501" s="360" t="str">
        <f t="shared" si="542"/>
        <v>2.1..1</v>
      </c>
      <c r="AR501" s="530"/>
      <c r="AS501" s="554" t="str">
        <f>U501</f>
        <v>Perda No. 4 Tahun 2022</v>
      </c>
      <c r="AT501" s="367">
        <v>1369.0244600000001</v>
      </c>
      <c r="AU501" s="367">
        <f>Y501</f>
        <v>31510.355</v>
      </c>
      <c r="AV501" s="433">
        <f>AU501/AT501</f>
        <v>23.016648657979417</v>
      </c>
      <c r="AW501" s="367">
        <v>1358.6451520000001</v>
      </c>
      <c r="AX501" s="433">
        <f>AW501/AT501</f>
        <v>0.99241846416681256</v>
      </c>
      <c r="AY501" s="367">
        <v>10.379308</v>
      </c>
      <c r="AZ501" s="433">
        <f>AY501/AT501</f>
        <v>7.5815358331873771E-3</v>
      </c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</row>
    <row r="502" spans="1:68" ht="20.25" customHeight="1">
      <c r="A502" s="100">
        <v>82</v>
      </c>
      <c r="B502" s="100" t="s">
        <v>65</v>
      </c>
      <c r="C502" s="100" t="s">
        <v>2439</v>
      </c>
      <c r="D502" s="102" t="s">
        <v>895</v>
      </c>
      <c r="E502" s="100" t="str">
        <f t="shared" si="300"/>
        <v>Sama</v>
      </c>
      <c r="F502" s="63">
        <f t="shared" si="569"/>
        <v>466</v>
      </c>
      <c r="G502" s="63">
        <v>10</v>
      </c>
      <c r="H502" s="62" t="s">
        <v>65</v>
      </c>
      <c r="I502" s="62" t="s">
        <v>895</v>
      </c>
      <c r="J502" s="66">
        <v>184.797083928951</v>
      </c>
      <c r="K502" s="533" t="s">
        <v>661</v>
      </c>
      <c r="L502" s="68">
        <f t="shared" si="570"/>
        <v>0</v>
      </c>
      <c r="M502" s="63"/>
      <c r="N502" s="392" t="e">
        <f t="shared" si="571"/>
        <v>#VALUE!</v>
      </c>
      <c r="O502" s="382"/>
      <c r="P502" s="68"/>
      <c r="Q502" s="68"/>
      <c r="R502" s="68"/>
      <c r="S502" s="68">
        <f t="shared" si="572"/>
        <v>0</v>
      </c>
      <c r="T502" s="63"/>
      <c r="U502" s="347"/>
      <c r="V502" s="370"/>
      <c r="W502" s="370"/>
      <c r="X502" s="370"/>
      <c r="Y502" s="68">
        <f>IF(X502&gt;0,X502,IF(V502&gt;0,V502,0))</f>
        <v>0</v>
      </c>
      <c r="Z502" s="345"/>
      <c r="AA502" s="347"/>
      <c r="AB502" s="345"/>
      <c r="AC502" s="345"/>
      <c r="AD502" s="345"/>
      <c r="AE502" s="68">
        <f t="shared" si="574"/>
        <v>0</v>
      </c>
      <c r="AF502" s="366" t="s">
        <v>1097</v>
      </c>
      <c r="AG502" s="358"/>
      <c r="AH502" s="359"/>
      <c r="AI502" s="360"/>
      <c r="AJ502" s="360"/>
      <c r="AK502" s="360" t="str">
        <f t="shared" si="575"/>
        <v/>
      </c>
      <c r="AL502" s="18"/>
      <c r="AM502" s="360" t="e">
        <f t="shared" si="576"/>
        <v>#VALUE!</v>
      </c>
      <c r="AN502" s="360" t="str">
        <f t="shared" si="512"/>
        <v>2</v>
      </c>
      <c r="AO502" s="360"/>
      <c r="AP502" s="346" t="str">
        <f t="shared" si="577"/>
        <v>2</v>
      </c>
      <c r="AQ502" s="360" t="e">
        <f t="shared" si="542"/>
        <v>#VALUE!</v>
      </c>
      <c r="AR502" s="530"/>
      <c r="AS502" s="360"/>
      <c r="AT502" s="362"/>
      <c r="AU502" s="362"/>
      <c r="AV502" s="362"/>
      <c r="AW502" s="362"/>
      <c r="AX502" s="362"/>
      <c r="AY502" s="362"/>
      <c r="AZ502" s="362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</row>
    <row r="503" spans="1:68" ht="20.25" customHeight="1">
      <c r="A503" s="100">
        <v>92</v>
      </c>
      <c r="B503" s="100" t="s">
        <v>66</v>
      </c>
      <c r="C503" s="100">
        <v>92</v>
      </c>
      <c r="D503" s="102" t="s">
        <v>2440</v>
      </c>
      <c r="E503" s="100" t="str">
        <f t="shared" si="300"/>
        <v>Sama</v>
      </c>
      <c r="F503" s="63"/>
      <c r="G503" s="342"/>
      <c r="H503" s="379"/>
      <c r="I503" s="379" t="s">
        <v>2440</v>
      </c>
      <c r="J503" s="380">
        <f>SUM(J504:J516)</f>
        <v>8859.8354948954566</v>
      </c>
      <c r="K503" s="353">
        <f>COUNTIF(K504:K516,"D") + COUNTIF(K504:K516,"DS")</f>
        <v>3</v>
      </c>
      <c r="L503" s="383">
        <f>SUBTOTAL(9,L504:L516)</f>
        <v>91110</v>
      </c>
      <c r="M503" s="342"/>
      <c r="N503" s="355"/>
      <c r="O503" s="356"/>
      <c r="P503" s="383">
        <f t="shared" ref="P503:S503" si="578">SUBTOTAL(9,P506:P516)</f>
        <v>53510</v>
      </c>
      <c r="Q503" s="383">
        <f t="shared" si="578"/>
        <v>0</v>
      </c>
      <c r="R503" s="383">
        <f t="shared" si="578"/>
        <v>53510</v>
      </c>
      <c r="S503" s="383">
        <f t="shared" si="578"/>
        <v>53510</v>
      </c>
      <c r="T503" s="342"/>
      <c r="U503" s="351"/>
      <c r="V503" s="384">
        <v>22600</v>
      </c>
      <c r="W503" s="384">
        <v>15000</v>
      </c>
      <c r="X503" s="384">
        <v>37600</v>
      </c>
      <c r="Y503" s="383">
        <f>SUBTOTAL(9,Y506:Y516)</f>
        <v>37600</v>
      </c>
      <c r="Z503" s="337"/>
      <c r="AA503" s="351">
        <v>1</v>
      </c>
      <c r="AB503" s="337">
        <v>22600</v>
      </c>
      <c r="AC503" s="337">
        <v>15000</v>
      </c>
      <c r="AD503" s="337">
        <v>37600</v>
      </c>
      <c r="AE503" s="383">
        <f>SUBTOTAL(9,AE506:AE516)</f>
        <v>37600</v>
      </c>
      <c r="AF503" s="357" t="s">
        <v>1138</v>
      </c>
      <c r="AG503" s="358"/>
      <c r="AH503" s="359"/>
      <c r="AI503" s="360"/>
      <c r="AJ503" s="360"/>
      <c r="AK503" s="361">
        <f>COUNTIF(AK504:AK516,"V") + COUNTIF(AK504:AK516,"VV") + COUNTIF(AK504:AK516,"VVV")</f>
        <v>0</v>
      </c>
      <c r="AL503" s="18"/>
      <c r="AM503" s="360"/>
      <c r="AN503" s="360" t="str">
        <f t="shared" si="512"/>
        <v>1</v>
      </c>
      <c r="AO503" s="360"/>
      <c r="AP503" s="346"/>
      <c r="AQ503" s="360" t="str">
        <f t="shared" si="542"/>
        <v>.1..</v>
      </c>
      <c r="AR503" s="530"/>
      <c r="AS503" s="360"/>
      <c r="AT503" s="362"/>
      <c r="AU503" s="362"/>
      <c r="AV503" s="362"/>
      <c r="AW503" s="362"/>
      <c r="AX503" s="362"/>
      <c r="AY503" s="362"/>
      <c r="AZ503" s="362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</row>
    <row r="504" spans="1:68" ht="20.25" customHeight="1">
      <c r="A504" s="100">
        <v>92</v>
      </c>
      <c r="B504" s="100" t="s">
        <v>66</v>
      </c>
      <c r="C504" s="100" t="s">
        <v>2441</v>
      </c>
      <c r="D504" s="102" t="s">
        <v>896</v>
      </c>
      <c r="E504" s="100" t="str">
        <f t="shared" si="300"/>
        <v>Sama</v>
      </c>
      <c r="F504" s="63">
        <f t="shared" ref="F504:F506" si="579">SUBTOTAL(3,$G$7:G504)</f>
        <v>467</v>
      </c>
      <c r="G504" s="63">
        <v>1</v>
      </c>
      <c r="H504" s="64" t="s">
        <v>66</v>
      </c>
      <c r="I504" s="64" t="s">
        <v>896</v>
      </c>
      <c r="J504" s="84">
        <v>239.0581941179</v>
      </c>
      <c r="K504" s="533" t="s">
        <v>661</v>
      </c>
      <c r="L504" s="68">
        <f t="shared" ref="L504:L516" si="580">IF(S504&gt;0,S504,IF(Y504&gt;0,Y504,IF(AE504&gt;0,AE504,0)))</f>
        <v>0</v>
      </c>
      <c r="M504" s="387"/>
      <c r="N504" s="427" t="e">
        <f t="shared" ref="N504:N516" si="581">VALUE(RIGHT(O504,4))</f>
        <v>#VALUE!</v>
      </c>
      <c r="O504" s="428"/>
      <c r="P504" s="388"/>
      <c r="Q504" s="388"/>
      <c r="R504" s="388"/>
      <c r="S504" s="68">
        <f t="shared" ref="S504:S516" si="582">IF(R504&gt;0,R504,IF(P504&gt;0,P504,0))</f>
        <v>0</v>
      </c>
      <c r="T504" s="387"/>
      <c r="U504" s="389"/>
      <c r="V504" s="390"/>
      <c r="W504" s="390"/>
      <c r="X504" s="390"/>
      <c r="Y504" s="68">
        <f t="shared" ref="Y504:Y516" si="583">IF(X504&gt;0,X504,IF(V504&gt;0,V504,0))</f>
        <v>0</v>
      </c>
      <c r="Z504" s="391"/>
      <c r="AA504" s="389"/>
      <c r="AB504" s="391"/>
      <c r="AC504" s="391"/>
      <c r="AD504" s="391"/>
      <c r="AE504" s="68">
        <f t="shared" ref="AE504:AE516" si="584">IF(AD504&gt;0,AD504,IF(AB504&gt;0,AB504,0))</f>
        <v>0</v>
      </c>
      <c r="AF504" s="366" t="s">
        <v>1097</v>
      </c>
      <c r="AG504" s="358"/>
      <c r="AH504" s="359"/>
      <c r="AI504" s="360"/>
      <c r="AJ504" s="360"/>
      <c r="AK504" s="360" t="str">
        <f t="shared" ref="AK504:AK516" si="585">CONCATENATE(M504,T504,Z504)</f>
        <v/>
      </c>
      <c r="AL504" s="18"/>
      <c r="AM504" s="360" t="e">
        <f t="shared" ref="AM504:AM516" si="586">IF(N504=0,"3",IF(N504&lt;=2018,"2","1"))</f>
        <v>#VALUE!</v>
      </c>
      <c r="AN504" s="360" t="str">
        <f t="shared" si="512"/>
        <v>2</v>
      </c>
      <c r="AO504" s="360"/>
      <c r="AP504" s="346" t="str">
        <f t="shared" ref="AP504:AP516" si="587">IF(Y504&gt;0,"1",IF(AE504&gt;0,"1","2"))</f>
        <v>2</v>
      </c>
      <c r="AQ504" s="360" t="e">
        <f t="shared" si="542"/>
        <v>#VALUE!</v>
      </c>
      <c r="AR504" s="530"/>
      <c r="AS504" s="360"/>
      <c r="AT504" s="362"/>
      <c r="AU504" s="362"/>
      <c r="AV504" s="362"/>
      <c r="AW504" s="362"/>
      <c r="AX504" s="362"/>
      <c r="AY504" s="362"/>
      <c r="AZ504" s="362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</row>
    <row r="505" spans="1:68" ht="20.25" customHeight="1">
      <c r="A505" s="100">
        <v>92</v>
      </c>
      <c r="B505" s="100" t="s">
        <v>66</v>
      </c>
      <c r="C505" s="100" t="s">
        <v>2442</v>
      </c>
      <c r="D505" s="102" t="s">
        <v>897</v>
      </c>
      <c r="E505" s="100" t="str">
        <f t="shared" si="300"/>
        <v>Sama</v>
      </c>
      <c r="F505" s="63">
        <f t="shared" si="579"/>
        <v>468</v>
      </c>
      <c r="G505" s="63">
        <v>2</v>
      </c>
      <c r="H505" s="64" t="s">
        <v>66</v>
      </c>
      <c r="I505" s="64" t="s">
        <v>897</v>
      </c>
      <c r="J505" s="84">
        <v>0</v>
      </c>
      <c r="K505" s="533" t="s">
        <v>661</v>
      </c>
      <c r="L505" s="68">
        <f t="shared" si="580"/>
        <v>0</v>
      </c>
      <c r="M505" s="387"/>
      <c r="N505" s="427" t="e">
        <f t="shared" si="581"/>
        <v>#VALUE!</v>
      </c>
      <c r="O505" s="428"/>
      <c r="P505" s="388"/>
      <c r="Q505" s="388"/>
      <c r="R505" s="388"/>
      <c r="S505" s="68">
        <f t="shared" si="582"/>
        <v>0</v>
      </c>
      <c r="T505" s="387"/>
      <c r="U505" s="389"/>
      <c r="V505" s="390"/>
      <c r="W505" s="390"/>
      <c r="X505" s="390"/>
      <c r="Y505" s="68">
        <f t="shared" si="583"/>
        <v>0</v>
      </c>
      <c r="Z505" s="391"/>
      <c r="AA505" s="389"/>
      <c r="AB505" s="391"/>
      <c r="AC505" s="391"/>
      <c r="AD505" s="391"/>
      <c r="AE505" s="68">
        <f t="shared" si="584"/>
        <v>0</v>
      </c>
      <c r="AF505" s="366" t="s">
        <v>1097</v>
      </c>
      <c r="AG505" s="358"/>
      <c r="AH505" s="359"/>
      <c r="AI505" s="360"/>
      <c r="AJ505" s="360"/>
      <c r="AK505" s="360" t="str">
        <f t="shared" si="585"/>
        <v/>
      </c>
      <c r="AL505" s="18"/>
      <c r="AM505" s="360" t="e">
        <f t="shared" si="586"/>
        <v>#VALUE!</v>
      </c>
      <c r="AN505" s="360" t="str">
        <f t="shared" si="512"/>
        <v>2</v>
      </c>
      <c r="AO505" s="360"/>
      <c r="AP505" s="346" t="str">
        <f t="shared" si="587"/>
        <v>2</v>
      </c>
      <c r="AQ505" s="360" t="e">
        <f t="shared" si="542"/>
        <v>#VALUE!</v>
      </c>
      <c r="AR505" s="530"/>
      <c r="AS505" s="360"/>
      <c r="AT505" s="362"/>
      <c r="AU505" s="362"/>
      <c r="AV505" s="362"/>
      <c r="AW505" s="362"/>
      <c r="AX505" s="362"/>
      <c r="AY505" s="362"/>
      <c r="AZ505" s="362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</row>
    <row r="506" spans="1:68" ht="20.25" customHeight="1">
      <c r="A506" s="100">
        <v>92</v>
      </c>
      <c r="B506" s="100" t="s">
        <v>66</v>
      </c>
      <c r="C506" s="100" t="s">
        <v>2443</v>
      </c>
      <c r="D506" s="102" t="s">
        <v>898</v>
      </c>
      <c r="E506" s="100" t="str">
        <f t="shared" si="300"/>
        <v>Sama</v>
      </c>
      <c r="F506" s="63">
        <f t="shared" si="579"/>
        <v>469</v>
      </c>
      <c r="G506" s="63">
        <v>4</v>
      </c>
      <c r="H506" s="64" t="s">
        <v>66</v>
      </c>
      <c r="I506" s="62" t="s">
        <v>898</v>
      </c>
      <c r="J506" s="66">
        <v>3567.6698235081158</v>
      </c>
      <c r="K506" s="533" t="s">
        <v>104</v>
      </c>
      <c r="L506" s="68">
        <f t="shared" si="580"/>
        <v>4500</v>
      </c>
      <c r="M506" s="63"/>
      <c r="N506" s="392">
        <f t="shared" si="581"/>
        <v>2013</v>
      </c>
      <c r="O506" s="382" t="s">
        <v>1665</v>
      </c>
      <c r="P506" s="68">
        <v>4500</v>
      </c>
      <c r="Q506" s="68">
        <v>0</v>
      </c>
      <c r="R506" s="68">
        <v>4500</v>
      </c>
      <c r="S506" s="68">
        <f t="shared" si="582"/>
        <v>4500</v>
      </c>
      <c r="T506" s="63"/>
      <c r="U506" s="347"/>
      <c r="V506" s="370"/>
      <c r="W506" s="370"/>
      <c r="X506" s="370"/>
      <c r="Y506" s="68">
        <f t="shared" si="583"/>
        <v>0</v>
      </c>
      <c r="Z506" s="345"/>
      <c r="AA506" s="347"/>
      <c r="AB506" s="345"/>
      <c r="AC506" s="345"/>
      <c r="AD506" s="345"/>
      <c r="AE506" s="68">
        <f t="shared" si="584"/>
        <v>0</v>
      </c>
      <c r="AF506" s="366" t="s">
        <v>1097</v>
      </c>
      <c r="AG506" s="358"/>
      <c r="AH506" s="359"/>
      <c r="AI506" s="360"/>
      <c r="AJ506" s="360"/>
      <c r="AK506" s="360" t="str">
        <f t="shared" si="585"/>
        <v/>
      </c>
      <c r="AL506" s="18"/>
      <c r="AM506" s="360" t="str">
        <f t="shared" si="586"/>
        <v>2</v>
      </c>
      <c r="AN506" s="360" t="str">
        <f t="shared" si="512"/>
        <v>1</v>
      </c>
      <c r="AO506" s="360"/>
      <c r="AP506" s="346" t="str">
        <f t="shared" si="587"/>
        <v>2</v>
      </c>
      <c r="AQ506" s="360" t="str">
        <f t="shared" si="542"/>
        <v>2.1..2</v>
      </c>
      <c r="AR506" s="530"/>
      <c r="AS506" s="360"/>
      <c r="AT506" s="362"/>
      <c r="AU506" s="362"/>
      <c r="AV506" s="362"/>
      <c r="AW506" s="362"/>
      <c r="AX506" s="362"/>
      <c r="AY506" s="362"/>
      <c r="AZ506" s="362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</row>
    <row r="507" spans="1:68" ht="20.25" customHeight="1">
      <c r="A507" s="100">
        <v>92</v>
      </c>
      <c r="B507" s="100" t="s">
        <v>66</v>
      </c>
      <c r="C507" s="100" t="s">
        <v>2444</v>
      </c>
      <c r="D507" s="102" t="s">
        <v>900</v>
      </c>
      <c r="E507" s="100" t="str">
        <f t="shared" si="300"/>
        <v>Sama</v>
      </c>
      <c r="F507" s="63">
        <f t="shared" ref="F507:F508" si="588">SUBTOTAL(3,$G$7:G511)</f>
        <v>474</v>
      </c>
      <c r="G507" s="63">
        <v>5</v>
      </c>
      <c r="H507" s="64" t="s">
        <v>66</v>
      </c>
      <c r="I507" s="62" t="s">
        <v>900</v>
      </c>
      <c r="J507" s="66">
        <v>864.9572108727408</v>
      </c>
      <c r="K507" s="533" t="s">
        <v>661</v>
      </c>
      <c r="L507" s="68">
        <f t="shared" si="580"/>
        <v>0</v>
      </c>
      <c r="M507" s="63"/>
      <c r="N507" s="392" t="e">
        <f t="shared" si="581"/>
        <v>#VALUE!</v>
      </c>
      <c r="O507" s="382"/>
      <c r="P507" s="68"/>
      <c r="Q507" s="68"/>
      <c r="R507" s="68"/>
      <c r="S507" s="68">
        <f t="shared" si="582"/>
        <v>0</v>
      </c>
      <c r="T507" s="63"/>
      <c r="U507" s="347"/>
      <c r="V507" s="370"/>
      <c r="W507" s="370"/>
      <c r="X507" s="370"/>
      <c r="Y507" s="68">
        <f t="shared" si="583"/>
        <v>0</v>
      </c>
      <c r="Z507" s="345"/>
      <c r="AA507" s="347"/>
      <c r="AB507" s="345"/>
      <c r="AC507" s="345"/>
      <c r="AD507" s="345"/>
      <c r="AE507" s="68">
        <f t="shared" si="584"/>
        <v>0</v>
      </c>
      <c r="AF507" s="366" t="s">
        <v>1097</v>
      </c>
      <c r="AG507" s="358"/>
      <c r="AH507" s="359"/>
      <c r="AI507" s="360"/>
      <c r="AJ507" s="360"/>
      <c r="AK507" s="360" t="str">
        <f t="shared" si="585"/>
        <v/>
      </c>
      <c r="AL507" s="18"/>
      <c r="AM507" s="360" t="e">
        <f t="shared" si="586"/>
        <v>#VALUE!</v>
      </c>
      <c r="AN507" s="360" t="str">
        <f t="shared" si="512"/>
        <v>2</v>
      </c>
      <c r="AO507" s="360"/>
      <c r="AP507" s="346" t="str">
        <f t="shared" si="587"/>
        <v>2</v>
      </c>
      <c r="AQ507" s="360" t="e">
        <f t="shared" si="542"/>
        <v>#VALUE!</v>
      </c>
      <c r="AR507" s="530"/>
      <c r="AS507" s="360"/>
      <c r="AT507" s="362"/>
      <c r="AU507" s="362"/>
      <c r="AV507" s="362"/>
      <c r="AW507" s="362"/>
      <c r="AX507" s="362"/>
      <c r="AY507" s="362"/>
      <c r="AZ507" s="362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</row>
    <row r="508" spans="1:68" ht="20.25" customHeight="1">
      <c r="A508" s="100">
        <v>92</v>
      </c>
      <c r="B508" s="100" t="s">
        <v>66</v>
      </c>
      <c r="C508" s="100" t="s">
        <v>2445</v>
      </c>
      <c r="D508" s="102" t="s">
        <v>901</v>
      </c>
      <c r="E508" s="100" t="str">
        <f t="shared" si="300"/>
        <v>Sama</v>
      </c>
      <c r="F508" s="63">
        <f t="shared" si="588"/>
        <v>475</v>
      </c>
      <c r="G508" s="63">
        <v>7</v>
      </c>
      <c r="H508" s="64" t="s">
        <v>66</v>
      </c>
      <c r="I508" s="62" t="s">
        <v>901</v>
      </c>
      <c r="J508" s="66"/>
      <c r="K508" s="533" t="s">
        <v>661</v>
      </c>
      <c r="L508" s="68">
        <f t="shared" si="580"/>
        <v>0</v>
      </c>
      <c r="M508" s="63"/>
      <c r="N508" s="392" t="e">
        <f t="shared" si="581"/>
        <v>#VALUE!</v>
      </c>
      <c r="O508" s="382"/>
      <c r="P508" s="68"/>
      <c r="Q508" s="68"/>
      <c r="R508" s="68"/>
      <c r="S508" s="68">
        <f t="shared" si="582"/>
        <v>0</v>
      </c>
      <c r="T508" s="63"/>
      <c r="U508" s="347"/>
      <c r="V508" s="370"/>
      <c r="W508" s="370"/>
      <c r="X508" s="370"/>
      <c r="Y508" s="68">
        <f t="shared" si="583"/>
        <v>0</v>
      </c>
      <c r="Z508" s="345"/>
      <c r="AA508" s="347"/>
      <c r="AB508" s="345"/>
      <c r="AC508" s="345"/>
      <c r="AD508" s="345"/>
      <c r="AE508" s="68">
        <f t="shared" si="584"/>
        <v>0</v>
      </c>
      <c r="AF508" s="366" t="s">
        <v>1097</v>
      </c>
      <c r="AG508" s="358"/>
      <c r="AH508" s="359"/>
      <c r="AI508" s="360"/>
      <c r="AJ508" s="360"/>
      <c r="AK508" s="360" t="str">
        <f t="shared" si="585"/>
        <v/>
      </c>
      <c r="AL508" s="18"/>
      <c r="AM508" s="360" t="e">
        <f t="shared" si="586"/>
        <v>#VALUE!</v>
      </c>
      <c r="AN508" s="360" t="str">
        <f t="shared" si="512"/>
        <v>2</v>
      </c>
      <c r="AO508" s="360"/>
      <c r="AP508" s="346" t="str">
        <f t="shared" si="587"/>
        <v>2</v>
      </c>
      <c r="AQ508" s="360" t="e">
        <f t="shared" si="542"/>
        <v>#VALUE!</v>
      </c>
      <c r="AR508" s="530"/>
      <c r="AS508" s="360"/>
      <c r="AT508" s="362"/>
      <c r="AU508" s="362"/>
      <c r="AV508" s="362"/>
      <c r="AW508" s="362"/>
      <c r="AX508" s="362"/>
      <c r="AY508" s="362"/>
      <c r="AZ508" s="362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</row>
    <row r="509" spans="1:68" ht="20.25" customHeight="1">
      <c r="A509" s="100">
        <v>92</v>
      </c>
      <c r="B509" s="100" t="s">
        <v>66</v>
      </c>
      <c r="C509" s="100" t="s">
        <v>2446</v>
      </c>
      <c r="D509" s="102" t="s">
        <v>902</v>
      </c>
      <c r="E509" s="100" t="str">
        <f t="shared" si="300"/>
        <v>Sama</v>
      </c>
      <c r="F509" s="63">
        <f>SUBTOTAL(3,$G$7:G509)</f>
        <v>472</v>
      </c>
      <c r="G509" s="63">
        <v>12</v>
      </c>
      <c r="H509" s="64" t="s">
        <v>66</v>
      </c>
      <c r="I509" s="62" t="s">
        <v>902</v>
      </c>
      <c r="J509" s="66">
        <v>582.95501621373182</v>
      </c>
      <c r="K509" s="533" t="s">
        <v>661</v>
      </c>
      <c r="L509" s="68">
        <f t="shared" si="580"/>
        <v>0</v>
      </c>
      <c r="M509" s="63"/>
      <c r="N509" s="392" t="e">
        <f t="shared" si="581"/>
        <v>#VALUE!</v>
      </c>
      <c r="O509" s="382"/>
      <c r="P509" s="68"/>
      <c r="Q509" s="68"/>
      <c r="R509" s="68"/>
      <c r="S509" s="68">
        <f t="shared" si="582"/>
        <v>0</v>
      </c>
      <c r="T509" s="63"/>
      <c r="U509" s="347"/>
      <c r="V509" s="370"/>
      <c r="W509" s="370"/>
      <c r="X509" s="370"/>
      <c r="Y509" s="68">
        <f t="shared" si="583"/>
        <v>0</v>
      </c>
      <c r="Z509" s="345"/>
      <c r="AA509" s="347"/>
      <c r="AB509" s="345"/>
      <c r="AC509" s="345"/>
      <c r="AD509" s="345"/>
      <c r="AE509" s="68">
        <f t="shared" si="584"/>
        <v>0</v>
      </c>
      <c r="AF509" s="366" t="s">
        <v>1097</v>
      </c>
      <c r="AG509" s="358"/>
      <c r="AH509" s="359"/>
      <c r="AI509" s="360"/>
      <c r="AJ509" s="360"/>
      <c r="AK509" s="360" t="str">
        <f t="shared" si="585"/>
        <v/>
      </c>
      <c r="AL509" s="18"/>
      <c r="AM509" s="360" t="e">
        <f t="shared" si="586"/>
        <v>#VALUE!</v>
      </c>
      <c r="AN509" s="360" t="str">
        <f t="shared" si="512"/>
        <v>2</v>
      </c>
      <c r="AO509" s="360"/>
      <c r="AP509" s="346" t="str">
        <f t="shared" si="587"/>
        <v>2</v>
      </c>
      <c r="AQ509" s="360" t="e">
        <f t="shared" si="542"/>
        <v>#VALUE!</v>
      </c>
      <c r="AR509" s="530"/>
      <c r="AS509" s="360"/>
      <c r="AT509" s="362"/>
      <c r="AU509" s="362"/>
      <c r="AV509" s="362"/>
      <c r="AW509" s="362"/>
      <c r="AX509" s="362"/>
      <c r="AY509" s="362"/>
      <c r="AZ509" s="362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</row>
    <row r="510" spans="1:68" ht="20.25" customHeight="1">
      <c r="A510" s="100">
        <v>92</v>
      </c>
      <c r="B510" s="100" t="s">
        <v>66</v>
      </c>
      <c r="C510" s="100" t="s">
        <v>2447</v>
      </c>
      <c r="D510" s="102" t="s">
        <v>903</v>
      </c>
      <c r="E510" s="100" t="str">
        <f t="shared" si="300"/>
        <v>Sama</v>
      </c>
      <c r="F510" s="63">
        <f>SUBTOTAL(3,$G$7:G516)</f>
        <v>479</v>
      </c>
      <c r="G510" s="63">
        <v>13</v>
      </c>
      <c r="H510" s="64" t="s">
        <v>66</v>
      </c>
      <c r="I510" s="62" t="s">
        <v>903</v>
      </c>
      <c r="J510" s="66">
        <v>141.61748764726701</v>
      </c>
      <c r="K510" s="533" t="s">
        <v>104</v>
      </c>
      <c r="L510" s="68">
        <f t="shared" si="580"/>
        <v>49010</v>
      </c>
      <c r="M510" s="63"/>
      <c r="N510" s="392">
        <f t="shared" si="581"/>
        <v>2012</v>
      </c>
      <c r="O510" s="382" t="s">
        <v>323</v>
      </c>
      <c r="P510" s="68">
        <v>49010</v>
      </c>
      <c r="Q510" s="68">
        <v>0</v>
      </c>
      <c r="R510" s="68">
        <v>49010</v>
      </c>
      <c r="S510" s="68">
        <f t="shared" si="582"/>
        <v>49010</v>
      </c>
      <c r="T510" s="63"/>
      <c r="U510" s="347"/>
      <c r="V510" s="370"/>
      <c r="W510" s="370"/>
      <c r="X510" s="370"/>
      <c r="Y510" s="68">
        <f t="shared" si="583"/>
        <v>0</v>
      </c>
      <c r="Z510" s="345"/>
      <c r="AA510" s="347"/>
      <c r="AB510" s="345"/>
      <c r="AC510" s="345"/>
      <c r="AD510" s="345"/>
      <c r="AE510" s="68">
        <f t="shared" si="584"/>
        <v>0</v>
      </c>
      <c r="AF510" s="366" t="s">
        <v>1097</v>
      </c>
      <c r="AG510" s="358"/>
      <c r="AH510" s="359"/>
      <c r="AI510" s="360"/>
      <c r="AJ510" s="360"/>
      <c r="AK510" s="360" t="str">
        <f t="shared" si="585"/>
        <v/>
      </c>
      <c r="AL510" s="18"/>
      <c r="AM510" s="360" t="str">
        <f t="shared" si="586"/>
        <v>2</v>
      </c>
      <c r="AN510" s="360" t="str">
        <f t="shared" si="512"/>
        <v>1</v>
      </c>
      <c r="AO510" s="360"/>
      <c r="AP510" s="346" t="str">
        <f t="shared" si="587"/>
        <v>2</v>
      </c>
      <c r="AQ510" s="360" t="str">
        <f t="shared" si="542"/>
        <v>2.1..2</v>
      </c>
      <c r="AR510" s="530"/>
      <c r="AS510" s="360"/>
      <c r="AT510" s="362"/>
      <c r="AU510" s="362"/>
      <c r="AV510" s="362"/>
      <c r="AW510" s="362"/>
      <c r="AX510" s="362"/>
      <c r="AY510" s="362"/>
      <c r="AZ510" s="362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</row>
    <row r="511" spans="1:68" ht="20.25" customHeight="1">
      <c r="A511" s="100">
        <v>92</v>
      </c>
      <c r="B511" s="100" t="s">
        <v>2448</v>
      </c>
      <c r="C511" s="100" t="s">
        <v>2449</v>
      </c>
      <c r="D511" s="102" t="s">
        <v>904</v>
      </c>
      <c r="E511" s="100" t="str">
        <f t="shared" si="300"/>
        <v>Sama</v>
      </c>
      <c r="F511" s="63">
        <f t="shared" ref="F511:F516" si="589">SUBTOTAL(3,$G$7:G511)</f>
        <v>474</v>
      </c>
      <c r="G511" s="63">
        <v>3</v>
      </c>
      <c r="H511" s="64" t="s">
        <v>66</v>
      </c>
      <c r="I511" s="434" t="s">
        <v>904</v>
      </c>
      <c r="J511" s="84">
        <v>22.899135048183002</v>
      </c>
      <c r="K511" s="533" t="s">
        <v>661</v>
      </c>
      <c r="L511" s="68">
        <f t="shared" si="580"/>
        <v>0</v>
      </c>
      <c r="M511" s="387"/>
      <c r="N511" s="427" t="e">
        <f t="shared" si="581"/>
        <v>#VALUE!</v>
      </c>
      <c r="O511" s="428"/>
      <c r="P511" s="388"/>
      <c r="Q511" s="388"/>
      <c r="R511" s="388"/>
      <c r="S511" s="68">
        <f t="shared" si="582"/>
        <v>0</v>
      </c>
      <c r="T511" s="387"/>
      <c r="U511" s="389"/>
      <c r="V511" s="390"/>
      <c r="W511" s="390"/>
      <c r="X511" s="390"/>
      <c r="Y511" s="68">
        <f t="shared" si="583"/>
        <v>0</v>
      </c>
      <c r="Z511" s="391"/>
      <c r="AA511" s="389"/>
      <c r="AB511" s="391"/>
      <c r="AC511" s="391"/>
      <c r="AD511" s="391"/>
      <c r="AE511" s="68">
        <f t="shared" si="584"/>
        <v>0</v>
      </c>
      <c r="AF511" s="366" t="s">
        <v>1097</v>
      </c>
      <c r="AG511" s="358"/>
      <c r="AH511" s="359"/>
      <c r="AI511" s="360"/>
      <c r="AJ511" s="360"/>
      <c r="AK511" s="360" t="str">
        <f t="shared" si="585"/>
        <v/>
      </c>
      <c r="AL511" s="18"/>
      <c r="AM511" s="360" t="e">
        <f t="shared" si="586"/>
        <v>#VALUE!</v>
      </c>
      <c r="AN511" s="360" t="str">
        <f t="shared" si="512"/>
        <v>2</v>
      </c>
      <c r="AO511" s="360"/>
      <c r="AP511" s="346" t="str">
        <f t="shared" si="587"/>
        <v>2</v>
      </c>
      <c r="AQ511" s="360" t="e">
        <f t="shared" si="542"/>
        <v>#VALUE!</v>
      </c>
      <c r="AR511" s="530"/>
      <c r="AS511" s="360"/>
      <c r="AT511" s="362"/>
      <c r="AU511" s="362"/>
      <c r="AV511" s="362"/>
      <c r="AW511" s="362"/>
      <c r="AX511" s="362"/>
      <c r="AY511" s="362"/>
      <c r="AZ511" s="362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</row>
    <row r="512" spans="1:68" ht="20.25" customHeight="1">
      <c r="A512" s="100">
        <v>92</v>
      </c>
      <c r="B512" s="100" t="s">
        <v>2448</v>
      </c>
      <c r="C512" s="100" t="s">
        <v>2450</v>
      </c>
      <c r="D512" s="102" t="s">
        <v>905</v>
      </c>
      <c r="E512" s="100" t="str">
        <f t="shared" si="300"/>
        <v>Sama</v>
      </c>
      <c r="F512" s="63">
        <f t="shared" si="589"/>
        <v>475</v>
      </c>
      <c r="G512" s="63">
        <v>6</v>
      </c>
      <c r="H512" s="64" t="s">
        <v>66</v>
      </c>
      <c r="I512" s="434" t="s">
        <v>905</v>
      </c>
      <c r="J512" s="66"/>
      <c r="K512" s="533" t="s">
        <v>661</v>
      </c>
      <c r="L512" s="68">
        <f t="shared" si="580"/>
        <v>0</v>
      </c>
      <c r="M512" s="63"/>
      <c r="N512" s="392" t="e">
        <f t="shared" si="581"/>
        <v>#VALUE!</v>
      </c>
      <c r="O512" s="382"/>
      <c r="P512" s="68"/>
      <c r="Q512" s="68"/>
      <c r="R512" s="68"/>
      <c r="S512" s="68">
        <f t="shared" si="582"/>
        <v>0</v>
      </c>
      <c r="T512" s="63"/>
      <c r="U512" s="347"/>
      <c r="V512" s="370"/>
      <c r="W512" s="370"/>
      <c r="X512" s="370"/>
      <c r="Y512" s="68">
        <f t="shared" si="583"/>
        <v>0</v>
      </c>
      <c r="Z512" s="345"/>
      <c r="AA512" s="347"/>
      <c r="AB512" s="345"/>
      <c r="AC512" s="345"/>
      <c r="AD512" s="345"/>
      <c r="AE512" s="68">
        <f t="shared" si="584"/>
        <v>0</v>
      </c>
      <c r="AF512" s="366" t="s">
        <v>1097</v>
      </c>
      <c r="AG512" s="358"/>
      <c r="AH512" s="359"/>
      <c r="AI512" s="360"/>
      <c r="AJ512" s="360"/>
      <c r="AK512" s="360" t="str">
        <f t="shared" si="585"/>
        <v/>
      </c>
      <c r="AL512" s="18"/>
      <c r="AM512" s="360" t="e">
        <f t="shared" si="586"/>
        <v>#VALUE!</v>
      </c>
      <c r="AN512" s="360" t="str">
        <f t="shared" si="512"/>
        <v>2</v>
      </c>
      <c r="AO512" s="360"/>
      <c r="AP512" s="346" t="str">
        <f t="shared" si="587"/>
        <v>2</v>
      </c>
      <c r="AQ512" s="360" t="e">
        <f t="shared" si="542"/>
        <v>#VALUE!</v>
      </c>
      <c r="AR512" s="530"/>
      <c r="AS512" s="360"/>
      <c r="AT512" s="362"/>
      <c r="AU512" s="362"/>
      <c r="AV512" s="362"/>
      <c r="AW512" s="362"/>
      <c r="AX512" s="362"/>
      <c r="AY512" s="362"/>
      <c r="AZ512" s="362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</row>
    <row r="513" spans="1:68" ht="20.25" customHeight="1">
      <c r="A513" s="100">
        <v>92</v>
      </c>
      <c r="B513" s="100" t="s">
        <v>2448</v>
      </c>
      <c r="C513" s="100" t="s">
        <v>2451</v>
      </c>
      <c r="D513" s="102" t="s">
        <v>906</v>
      </c>
      <c r="E513" s="100" t="str">
        <f t="shared" si="300"/>
        <v>Sama</v>
      </c>
      <c r="F513" s="63">
        <f t="shared" si="589"/>
        <v>476</v>
      </c>
      <c r="G513" s="63">
        <v>8</v>
      </c>
      <c r="H513" s="64" t="s">
        <v>66</v>
      </c>
      <c r="I513" s="434" t="s">
        <v>906</v>
      </c>
      <c r="J513" s="66">
        <v>219.25439918735003</v>
      </c>
      <c r="K513" s="533" t="s">
        <v>661</v>
      </c>
      <c r="L513" s="68">
        <f t="shared" si="580"/>
        <v>0</v>
      </c>
      <c r="M513" s="63"/>
      <c r="N513" s="392" t="e">
        <f t="shared" si="581"/>
        <v>#VALUE!</v>
      </c>
      <c r="O513" s="382"/>
      <c r="P513" s="68"/>
      <c r="Q513" s="68"/>
      <c r="R513" s="68"/>
      <c r="S513" s="68">
        <f t="shared" si="582"/>
        <v>0</v>
      </c>
      <c r="T513" s="63"/>
      <c r="U513" s="347"/>
      <c r="V513" s="370"/>
      <c r="W513" s="370"/>
      <c r="X513" s="370"/>
      <c r="Y513" s="68">
        <f t="shared" si="583"/>
        <v>0</v>
      </c>
      <c r="Z513" s="345"/>
      <c r="AA513" s="347"/>
      <c r="AB513" s="345"/>
      <c r="AC513" s="345"/>
      <c r="AD513" s="345"/>
      <c r="AE513" s="68">
        <f t="shared" si="584"/>
        <v>0</v>
      </c>
      <c r="AF513" s="366" t="s">
        <v>1097</v>
      </c>
      <c r="AG513" s="358"/>
      <c r="AH513" s="359"/>
      <c r="AI513" s="360"/>
      <c r="AJ513" s="360"/>
      <c r="AK513" s="360" t="str">
        <f t="shared" si="585"/>
        <v/>
      </c>
      <c r="AL513" s="18"/>
      <c r="AM513" s="360" t="e">
        <f t="shared" si="586"/>
        <v>#VALUE!</v>
      </c>
      <c r="AN513" s="360" t="str">
        <f t="shared" si="512"/>
        <v>2</v>
      </c>
      <c r="AO513" s="360"/>
      <c r="AP513" s="346" t="str">
        <f t="shared" si="587"/>
        <v>2</v>
      </c>
      <c r="AQ513" s="360" t="e">
        <f t="shared" si="542"/>
        <v>#VALUE!</v>
      </c>
      <c r="AR513" s="530"/>
      <c r="AS513" s="360"/>
      <c r="AT513" s="362"/>
      <c r="AU513" s="362"/>
      <c r="AV513" s="362"/>
      <c r="AW513" s="362"/>
      <c r="AX513" s="362"/>
      <c r="AY513" s="362"/>
      <c r="AZ513" s="362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</row>
    <row r="514" spans="1:68" ht="20.25" customHeight="1">
      <c r="A514" s="100">
        <v>92</v>
      </c>
      <c r="B514" s="100" t="s">
        <v>2448</v>
      </c>
      <c r="C514" s="100" t="s">
        <v>2452</v>
      </c>
      <c r="D514" s="102" t="s">
        <v>907</v>
      </c>
      <c r="E514" s="100" t="str">
        <f t="shared" si="300"/>
        <v>Sama</v>
      </c>
      <c r="F514" s="63">
        <f t="shared" si="589"/>
        <v>477</v>
      </c>
      <c r="G514" s="63">
        <v>9</v>
      </c>
      <c r="H514" s="64" t="s">
        <v>66</v>
      </c>
      <c r="I514" s="434" t="s">
        <v>907</v>
      </c>
      <c r="J514" s="66">
        <v>2985.7051496828321</v>
      </c>
      <c r="K514" s="533" t="s">
        <v>104</v>
      </c>
      <c r="L514" s="68">
        <f t="shared" si="580"/>
        <v>37600</v>
      </c>
      <c r="M514" s="63"/>
      <c r="N514" s="392" t="e">
        <f t="shared" si="581"/>
        <v>#VALUE!</v>
      </c>
      <c r="O514" s="382"/>
      <c r="P514" s="68"/>
      <c r="Q514" s="68"/>
      <c r="R514" s="68"/>
      <c r="S514" s="68">
        <f t="shared" si="582"/>
        <v>0</v>
      </c>
      <c r="T514" s="63"/>
      <c r="U514" s="347" t="s">
        <v>1534</v>
      </c>
      <c r="V514" s="370">
        <v>22600</v>
      </c>
      <c r="W514" s="370">
        <v>15000</v>
      </c>
      <c r="X514" s="370">
        <v>37600</v>
      </c>
      <c r="Y514" s="68">
        <f t="shared" si="583"/>
        <v>37600</v>
      </c>
      <c r="Z514" s="345"/>
      <c r="AA514" s="347" t="s">
        <v>1534</v>
      </c>
      <c r="AB514" s="345">
        <v>22600</v>
      </c>
      <c r="AC514" s="345">
        <v>15000</v>
      </c>
      <c r="AD514" s="345">
        <v>37600</v>
      </c>
      <c r="AE514" s="68">
        <f t="shared" si="584"/>
        <v>37600</v>
      </c>
      <c r="AF514" s="366" t="s">
        <v>1097</v>
      </c>
      <c r="AG514" s="358"/>
      <c r="AH514" s="359"/>
      <c r="AI514" s="360"/>
      <c r="AJ514" s="360"/>
      <c r="AK514" s="360" t="str">
        <f t="shared" si="585"/>
        <v/>
      </c>
      <c r="AL514" s="18"/>
      <c r="AM514" s="360" t="e">
        <f t="shared" si="586"/>
        <v>#VALUE!</v>
      </c>
      <c r="AN514" s="360" t="str">
        <f t="shared" si="512"/>
        <v>2</v>
      </c>
      <c r="AO514" s="360"/>
      <c r="AP514" s="346" t="str">
        <f t="shared" si="587"/>
        <v>1</v>
      </c>
      <c r="AQ514" s="360" t="e">
        <f t="shared" si="542"/>
        <v>#VALUE!</v>
      </c>
      <c r="AR514" s="530"/>
      <c r="AS514" s="360"/>
      <c r="AT514" s="362"/>
      <c r="AU514" s="362"/>
      <c r="AV514" s="362"/>
      <c r="AW514" s="362"/>
      <c r="AX514" s="362"/>
      <c r="AY514" s="362"/>
      <c r="AZ514" s="362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</row>
    <row r="515" spans="1:68" ht="20.25" customHeight="1">
      <c r="A515" s="100">
        <v>92</v>
      </c>
      <c r="B515" s="100" t="s">
        <v>2448</v>
      </c>
      <c r="C515" s="100" t="s">
        <v>2453</v>
      </c>
      <c r="D515" s="102" t="s">
        <v>908</v>
      </c>
      <c r="E515" s="100" t="str">
        <f t="shared" si="300"/>
        <v>Sama</v>
      </c>
      <c r="F515" s="63">
        <f t="shared" si="589"/>
        <v>478</v>
      </c>
      <c r="G515" s="63">
        <v>10</v>
      </c>
      <c r="H515" s="64" t="s">
        <v>66</v>
      </c>
      <c r="I515" s="434" t="s">
        <v>908</v>
      </c>
      <c r="J515" s="66">
        <v>235.71907861733564</v>
      </c>
      <c r="K515" s="533" t="s">
        <v>661</v>
      </c>
      <c r="L515" s="68">
        <f t="shared" si="580"/>
        <v>0</v>
      </c>
      <c r="M515" s="63"/>
      <c r="N515" s="392" t="e">
        <f t="shared" si="581"/>
        <v>#VALUE!</v>
      </c>
      <c r="O515" s="382"/>
      <c r="P515" s="68"/>
      <c r="Q515" s="68"/>
      <c r="R515" s="68"/>
      <c r="S515" s="68">
        <f t="shared" si="582"/>
        <v>0</v>
      </c>
      <c r="T515" s="63"/>
      <c r="U515" s="347"/>
      <c r="V515" s="370"/>
      <c r="W515" s="370"/>
      <c r="X515" s="370"/>
      <c r="Y515" s="68">
        <f t="shared" si="583"/>
        <v>0</v>
      </c>
      <c r="Z515" s="345"/>
      <c r="AA515" s="347"/>
      <c r="AB515" s="345"/>
      <c r="AC515" s="345"/>
      <c r="AD515" s="345"/>
      <c r="AE515" s="68">
        <f t="shared" si="584"/>
        <v>0</v>
      </c>
      <c r="AF515" s="366" t="s">
        <v>1097</v>
      </c>
      <c r="AG515" s="358"/>
      <c r="AH515" s="359"/>
      <c r="AI515" s="360"/>
      <c r="AJ515" s="360"/>
      <c r="AK515" s="360" t="str">
        <f t="shared" si="585"/>
        <v/>
      </c>
      <c r="AL515" s="18"/>
      <c r="AM515" s="360" t="e">
        <f t="shared" si="586"/>
        <v>#VALUE!</v>
      </c>
      <c r="AN515" s="360" t="str">
        <f t="shared" si="512"/>
        <v>2</v>
      </c>
      <c r="AO515" s="360"/>
      <c r="AP515" s="346" t="str">
        <f t="shared" si="587"/>
        <v>2</v>
      </c>
      <c r="AQ515" s="360" t="e">
        <f t="shared" si="542"/>
        <v>#VALUE!</v>
      </c>
      <c r="AR515" s="530"/>
      <c r="AS515" s="360"/>
      <c r="AT515" s="362"/>
      <c r="AU515" s="362"/>
      <c r="AV515" s="362"/>
      <c r="AW515" s="362"/>
      <c r="AX515" s="362"/>
      <c r="AY515" s="362"/>
      <c r="AZ515" s="362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</row>
    <row r="516" spans="1:68" ht="20.25" customHeight="1">
      <c r="A516" s="100">
        <v>92</v>
      </c>
      <c r="B516" s="100" t="s">
        <v>2448</v>
      </c>
      <c r="C516" s="100" t="s">
        <v>2454</v>
      </c>
      <c r="D516" s="102" t="s">
        <v>909</v>
      </c>
      <c r="E516" s="100" t="str">
        <f t="shared" ref="E516:E546" si="590">IF(I516=D516,"Sama","Beda")</f>
        <v>Sama</v>
      </c>
      <c r="F516" s="63">
        <f t="shared" si="589"/>
        <v>479</v>
      </c>
      <c r="G516" s="63">
        <v>11</v>
      </c>
      <c r="H516" s="64" t="s">
        <v>66</v>
      </c>
      <c r="I516" s="434" t="s">
        <v>909</v>
      </c>
      <c r="J516" s="66"/>
      <c r="K516" s="533" t="s">
        <v>661</v>
      </c>
      <c r="L516" s="68">
        <f t="shared" si="580"/>
        <v>0</v>
      </c>
      <c r="M516" s="63"/>
      <c r="N516" s="392" t="e">
        <f t="shared" si="581"/>
        <v>#VALUE!</v>
      </c>
      <c r="O516" s="382"/>
      <c r="P516" s="68"/>
      <c r="Q516" s="68"/>
      <c r="R516" s="68"/>
      <c r="S516" s="68">
        <f t="shared" si="582"/>
        <v>0</v>
      </c>
      <c r="T516" s="63"/>
      <c r="U516" s="347"/>
      <c r="V516" s="370"/>
      <c r="W516" s="370"/>
      <c r="X516" s="370"/>
      <c r="Y516" s="68">
        <f t="shared" si="583"/>
        <v>0</v>
      </c>
      <c r="Z516" s="345"/>
      <c r="AA516" s="347"/>
      <c r="AB516" s="345"/>
      <c r="AC516" s="345"/>
      <c r="AD516" s="345"/>
      <c r="AE516" s="68">
        <f t="shared" si="584"/>
        <v>0</v>
      </c>
      <c r="AF516" s="366" t="s">
        <v>1097</v>
      </c>
      <c r="AG516" s="358"/>
      <c r="AH516" s="359"/>
      <c r="AI516" s="360"/>
      <c r="AJ516" s="360"/>
      <c r="AK516" s="360" t="str">
        <f t="shared" si="585"/>
        <v/>
      </c>
      <c r="AL516" s="18"/>
      <c r="AM516" s="360" t="e">
        <f t="shared" si="586"/>
        <v>#VALUE!</v>
      </c>
      <c r="AN516" s="360" t="str">
        <f t="shared" si="512"/>
        <v>2</v>
      </c>
      <c r="AO516" s="360"/>
      <c r="AP516" s="346" t="str">
        <f t="shared" si="587"/>
        <v>2</v>
      </c>
      <c r="AQ516" s="360" t="e">
        <f t="shared" si="542"/>
        <v>#VALUE!</v>
      </c>
      <c r="AR516" s="530"/>
      <c r="AS516" s="360"/>
      <c r="AT516" s="362"/>
      <c r="AU516" s="362"/>
      <c r="AV516" s="362"/>
      <c r="AW516" s="362"/>
      <c r="AX516" s="362"/>
      <c r="AY516" s="362"/>
      <c r="AZ516" s="362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</row>
    <row r="517" spans="1:68" ht="20.25" customHeight="1">
      <c r="A517" s="555">
        <v>91</v>
      </c>
      <c r="B517" s="555" t="s">
        <v>71</v>
      </c>
      <c r="C517" s="555">
        <v>91</v>
      </c>
      <c r="D517" s="556" t="s">
        <v>2455</v>
      </c>
      <c r="E517" s="100" t="str">
        <f t="shared" si="590"/>
        <v>Sama</v>
      </c>
      <c r="F517" s="341"/>
      <c r="G517" s="341"/>
      <c r="H517" s="435"/>
      <c r="I517" s="379" t="s">
        <v>2455</v>
      </c>
      <c r="J517" s="436">
        <f>SUM(J518:J546)</f>
        <v>36194.782321780382</v>
      </c>
      <c r="K517" s="353">
        <f>COUNTIF(K518:K546,"D") + COUNTIF(K518:K546,"DS")</f>
        <v>6</v>
      </c>
      <c r="L517" s="383">
        <f>SUBTOTAL(9,L518:L546)</f>
        <v>206748.39</v>
      </c>
      <c r="M517" s="341" t="str">
        <f ca="1">COUNTIF(M7:M546,"V")</f>
        <v>#REF!</v>
      </c>
      <c r="N517" s="437"/>
      <c r="O517" s="438"/>
      <c r="P517" s="439">
        <f t="shared" ref="P517:S517" si="591">SUBTOTAL(9,P540:P541)</f>
        <v>0</v>
      </c>
      <c r="Q517" s="439">
        <f t="shared" si="591"/>
        <v>0</v>
      </c>
      <c r="R517" s="439">
        <f t="shared" si="591"/>
        <v>0</v>
      </c>
      <c r="S517" s="439">
        <f t="shared" si="591"/>
        <v>0</v>
      </c>
      <c r="T517" s="341" t="str">
        <f ca="1">COUNTIF(T7:T546,"V")</f>
        <v>#REF!</v>
      </c>
      <c r="U517" s="440"/>
      <c r="V517" s="441">
        <v>23842</v>
      </c>
      <c r="W517" s="441">
        <v>0</v>
      </c>
      <c r="X517" s="441">
        <v>23842</v>
      </c>
      <c r="Y517" s="439">
        <f>SUBTOTAL(9,Y540:Y541)</f>
        <v>23842</v>
      </c>
      <c r="Z517" s="442" t="str">
        <f ca="1">COUNTIF(Z7:Z546,"V")</f>
        <v>#REF!</v>
      </c>
      <c r="AA517" s="440">
        <v>1</v>
      </c>
      <c r="AB517" s="442">
        <v>23842</v>
      </c>
      <c r="AC517" s="442">
        <v>0</v>
      </c>
      <c r="AD517" s="442">
        <v>23842</v>
      </c>
      <c r="AE517" s="439">
        <f>SUBTOTAL(9,AE540:AE541)</f>
        <v>23842</v>
      </c>
      <c r="AF517" s="443" t="s">
        <v>1138</v>
      </c>
      <c r="AG517" s="358"/>
      <c r="AH517" s="359"/>
      <c r="AI517" s="360"/>
      <c r="AJ517" s="360"/>
      <c r="AK517" s="361">
        <f>COUNTIF(AK518:AK546,"V") + COUNTIF(AK518:AK546,"VV") + COUNTIF(AK518:AK546,"VVV")</f>
        <v>2</v>
      </c>
      <c r="AL517" s="18"/>
      <c r="AM517" s="360"/>
      <c r="AN517" s="360"/>
      <c r="AO517" s="360"/>
      <c r="AP517" s="346"/>
      <c r="AQ517" s="360" t="str">
        <f t="shared" si="542"/>
        <v>...</v>
      </c>
      <c r="AR517" s="530"/>
      <c r="AS517" s="360"/>
      <c r="AT517" s="362"/>
      <c r="AU517" s="362"/>
      <c r="AV517" s="362"/>
      <c r="AW517" s="362"/>
      <c r="AX517" s="362"/>
      <c r="AY517" s="362"/>
      <c r="AZ517" s="362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</row>
    <row r="518" spans="1:68" ht="20.25" customHeight="1">
      <c r="A518" s="100">
        <v>91</v>
      </c>
      <c r="B518" s="100" t="s">
        <v>71</v>
      </c>
      <c r="C518" s="100" t="s">
        <v>2456</v>
      </c>
      <c r="D518" s="102" t="s">
        <v>910</v>
      </c>
      <c r="E518" s="100" t="str">
        <f t="shared" si="590"/>
        <v>Sama</v>
      </c>
      <c r="F518" s="63">
        <f>SUBTOTAL(3,$G$7:G518)</f>
        <v>480</v>
      </c>
      <c r="G518" s="63">
        <v>2</v>
      </c>
      <c r="H518" s="64" t="s">
        <v>71</v>
      </c>
      <c r="I518" s="64" t="s">
        <v>910</v>
      </c>
      <c r="J518" s="84"/>
      <c r="K518" s="533" t="s">
        <v>661</v>
      </c>
      <c r="L518" s="68">
        <f t="shared" ref="L518:L546" si="592">IF(S518&gt;0,S518,IF(Y518&gt;0,Y518,IF(AE518&gt;0,AE518,0)))</f>
        <v>0</v>
      </c>
      <c r="M518" s="63"/>
      <c r="N518" s="392" t="e">
        <f t="shared" ref="N518:N546" si="593">VALUE(RIGHT(O518,4))</f>
        <v>#VALUE!</v>
      </c>
      <c r="O518" s="382"/>
      <c r="P518" s="68"/>
      <c r="Q518" s="68"/>
      <c r="R518" s="68"/>
      <c r="S518" s="68">
        <f t="shared" ref="S518:S546" si="594">IF(R518&gt;0,R518,IF(P518&gt;0,P518,0))</f>
        <v>0</v>
      </c>
      <c r="T518" s="63"/>
      <c r="U518" s="347"/>
      <c r="V518" s="370"/>
      <c r="W518" s="370"/>
      <c r="X518" s="370"/>
      <c r="Y518" s="68">
        <f t="shared" ref="Y518:Y546" si="595">IF(X518&gt;0,X518,IF(V518&gt;0,V518,0))</f>
        <v>0</v>
      </c>
      <c r="Z518" s="345"/>
      <c r="AA518" s="347"/>
      <c r="AB518" s="345"/>
      <c r="AC518" s="345"/>
      <c r="AD518" s="345"/>
      <c r="AE518" s="68">
        <f t="shared" ref="AE518:AE546" si="596">IF(AD518&gt;0,AD518,IF(AB518&gt;0,AB518,0))</f>
        <v>0</v>
      </c>
      <c r="AF518" s="366" t="s">
        <v>1097</v>
      </c>
      <c r="AG518" s="358"/>
      <c r="AH518" s="359"/>
      <c r="AI518" s="360"/>
      <c r="AJ518" s="360"/>
      <c r="AK518" s="360" t="str">
        <f t="shared" ref="AK518:AK546" si="597">CONCATENATE(M518,T518,Z518)</f>
        <v/>
      </c>
      <c r="AL518" s="18"/>
      <c r="AM518" s="360" t="e">
        <f t="shared" ref="AM518:AM546" si="598">IF(N518=0,"3",IF(N518&lt;=2018,"2","1"))</f>
        <v>#VALUE!</v>
      </c>
      <c r="AN518" s="360" t="str">
        <f t="shared" ref="AN518:AN546" si="599">IF(S518&gt;0,"1","2")</f>
        <v>2</v>
      </c>
      <c r="AO518" s="360"/>
      <c r="AP518" s="346" t="str">
        <f t="shared" ref="AP518:AP546" si="600">IF(Y518&gt;0,"1",IF(AE518&gt;0,"1","2"))</f>
        <v>2</v>
      </c>
      <c r="AQ518" s="360" t="e">
        <f t="shared" si="542"/>
        <v>#VALUE!</v>
      </c>
      <c r="AR518" s="530"/>
      <c r="AS518" s="360"/>
      <c r="AT518" s="362"/>
      <c r="AU518" s="362"/>
      <c r="AV518" s="362"/>
      <c r="AW518" s="362"/>
      <c r="AX518" s="362"/>
      <c r="AY518" s="362"/>
      <c r="AZ518" s="362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</row>
    <row r="519" spans="1:68" ht="20.25" customHeight="1">
      <c r="A519" s="100">
        <v>91</v>
      </c>
      <c r="B519" s="100" t="s">
        <v>71</v>
      </c>
      <c r="C519" s="100" t="s">
        <v>2457</v>
      </c>
      <c r="D519" s="102" t="s">
        <v>911</v>
      </c>
      <c r="E519" s="100" t="str">
        <f t="shared" si="590"/>
        <v>Sama</v>
      </c>
      <c r="F519" s="63">
        <f>SUBTOTAL(3,$G$7:G541)</f>
        <v>503</v>
      </c>
      <c r="G519" s="63">
        <v>7</v>
      </c>
      <c r="H519" s="64" t="s">
        <v>71</v>
      </c>
      <c r="I519" s="62" t="s">
        <v>911</v>
      </c>
      <c r="J519" s="66">
        <v>826.5201722237457</v>
      </c>
      <c r="K519" s="533" t="s">
        <v>104</v>
      </c>
      <c r="L519" s="68">
        <f t="shared" si="592"/>
        <v>0</v>
      </c>
      <c r="M519" s="63"/>
      <c r="N519" s="392">
        <f t="shared" si="593"/>
        <v>2009</v>
      </c>
      <c r="O519" s="382" t="s">
        <v>1853</v>
      </c>
      <c r="P519" s="68">
        <v>0</v>
      </c>
      <c r="Q519" s="68">
        <v>0</v>
      </c>
      <c r="R519" s="68">
        <v>0</v>
      </c>
      <c r="S519" s="68">
        <f t="shared" si="594"/>
        <v>0</v>
      </c>
      <c r="T519" s="63"/>
      <c r="U519" s="347"/>
      <c r="V519" s="370"/>
      <c r="W519" s="370"/>
      <c r="X519" s="370"/>
      <c r="Y519" s="68">
        <f t="shared" si="595"/>
        <v>0</v>
      </c>
      <c r="Z519" s="345"/>
      <c r="AA519" s="347"/>
      <c r="AB519" s="345"/>
      <c r="AC519" s="345"/>
      <c r="AD519" s="345"/>
      <c r="AE519" s="68">
        <f t="shared" si="596"/>
        <v>0</v>
      </c>
      <c r="AF519" s="366" t="s">
        <v>1097</v>
      </c>
      <c r="AG519" s="358"/>
      <c r="AH519" s="359"/>
      <c r="AI519" s="360"/>
      <c r="AJ519" s="360"/>
      <c r="AK519" s="360" t="str">
        <f t="shared" si="597"/>
        <v/>
      </c>
      <c r="AL519" s="18"/>
      <c r="AM519" s="360" t="str">
        <f t="shared" si="598"/>
        <v>2</v>
      </c>
      <c r="AN519" s="360" t="str">
        <f t="shared" si="599"/>
        <v>2</v>
      </c>
      <c r="AO519" s="360"/>
      <c r="AP519" s="346" t="str">
        <f t="shared" si="600"/>
        <v>2</v>
      </c>
      <c r="AQ519" s="360" t="str">
        <f t="shared" si="542"/>
        <v>2.2..2</v>
      </c>
      <c r="AR519" s="530"/>
      <c r="AS519" s="360"/>
      <c r="AT519" s="362"/>
      <c r="AU519" s="362"/>
      <c r="AV519" s="362"/>
      <c r="AW519" s="362"/>
      <c r="AX519" s="362"/>
      <c r="AY519" s="362"/>
      <c r="AZ519" s="362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</row>
    <row r="520" spans="1:68" ht="20.25" customHeight="1">
      <c r="A520" s="100">
        <v>91</v>
      </c>
      <c r="B520" s="100" t="s">
        <v>71</v>
      </c>
      <c r="C520" s="100" t="s">
        <v>2458</v>
      </c>
      <c r="D520" s="102" t="s">
        <v>912</v>
      </c>
      <c r="E520" s="100" t="str">
        <f t="shared" si="590"/>
        <v>Sama</v>
      </c>
      <c r="F520" s="63">
        <f t="shared" ref="F520:F521" si="601">SUBTOTAL(3,$G$7:G520)</f>
        <v>482</v>
      </c>
      <c r="G520" s="63">
        <v>9</v>
      </c>
      <c r="H520" s="64" t="s">
        <v>71</v>
      </c>
      <c r="I520" s="62" t="s">
        <v>912</v>
      </c>
      <c r="J520" s="66">
        <v>920.37385353103991</v>
      </c>
      <c r="K520" s="533" t="s">
        <v>661</v>
      </c>
      <c r="L520" s="68">
        <f t="shared" si="592"/>
        <v>0</v>
      </c>
      <c r="M520" s="63"/>
      <c r="N520" s="392" t="e">
        <f t="shared" si="593"/>
        <v>#VALUE!</v>
      </c>
      <c r="O520" s="382"/>
      <c r="P520" s="68"/>
      <c r="Q520" s="68"/>
      <c r="R520" s="68"/>
      <c r="S520" s="68">
        <f t="shared" si="594"/>
        <v>0</v>
      </c>
      <c r="T520" s="63"/>
      <c r="U520" s="347"/>
      <c r="V520" s="370"/>
      <c r="W520" s="370"/>
      <c r="X520" s="370"/>
      <c r="Y520" s="68">
        <f t="shared" si="595"/>
        <v>0</v>
      </c>
      <c r="Z520" s="345"/>
      <c r="AA520" s="347"/>
      <c r="AB520" s="345"/>
      <c r="AC520" s="345"/>
      <c r="AD520" s="345"/>
      <c r="AE520" s="68">
        <f t="shared" si="596"/>
        <v>0</v>
      </c>
      <c r="AF520" s="366" t="s">
        <v>1097</v>
      </c>
      <c r="AG520" s="358"/>
      <c r="AH520" s="359"/>
      <c r="AI520" s="360"/>
      <c r="AJ520" s="360"/>
      <c r="AK520" s="360" t="str">
        <f t="shared" si="597"/>
        <v/>
      </c>
      <c r="AL520" s="18"/>
      <c r="AM520" s="360" t="e">
        <f t="shared" si="598"/>
        <v>#VALUE!</v>
      </c>
      <c r="AN520" s="360" t="str">
        <f t="shared" si="599"/>
        <v>2</v>
      </c>
      <c r="AO520" s="360"/>
      <c r="AP520" s="346" t="str">
        <f t="shared" si="600"/>
        <v>2</v>
      </c>
      <c r="AQ520" s="360" t="e">
        <f t="shared" si="542"/>
        <v>#VALUE!</v>
      </c>
      <c r="AR520" s="530"/>
      <c r="AS520" s="360"/>
      <c r="AT520" s="362"/>
      <c r="AU520" s="362"/>
      <c r="AV520" s="362"/>
      <c r="AW520" s="362"/>
      <c r="AX520" s="362"/>
      <c r="AY520" s="362"/>
      <c r="AZ520" s="362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</row>
    <row r="521" spans="1:68" ht="20.25" customHeight="1">
      <c r="A521" s="100">
        <v>91</v>
      </c>
      <c r="B521" s="100" t="s">
        <v>71</v>
      </c>
      <c r="C521" s="100" t="s">
        <v>2459</v>
      </c>
      <c r="D521" s="102" t="s">
        <v>914</v>
      </c>
      <c r="E521" s="100" t="str">
        <f t="shared" si="590"/>
        <v>Sama</v>
      </c>
      <c r="F521" s="63">
        <f t="shared" si="601"/>
        <v>483</v>
      </c>
      <c r="G521" s="63">
        <v>10</v>
      </c>
      <c r="H521" s="64" t="s">
        <v>71</v>
      </c>
      <c r="I521" s="62" t="s">
        <v>914</v>
      </c>
      <c r="J521" s="66"/>
      <c r="K521" s="533" t="s">
        <v>661</v>
      </c>
      <c r="L521" s="68">
        <f t="shared" si="592"/>
        <v>0</v>
      </c>
      <c r="M521" s="63"/>
      <c r="N521" s="392" t="e">
        <f t="shared" si="593"/>
        <v>#VALUE!</v>
      </c>
      <c r="O521" s="382"/>
      <c r="P521" s="68"/>
      <c r="Q521" s="68"/>
      <c r="R521" s="68"/>
      <c r="S521" s="68">
        <f t="shared" si="594"/>
        <v>0</v>
      </c>
      <c r="T521" s="63"/>
      <c r="U521" s="347"/>
      <c r="V521" s="370"/>
      <c r="W521" s="370"/>
      <c r="X521" s="370"/>
      <c r="Y521" s="68">
        <f t="shared" si="595"/>
        <v>0</v>
      </c>
      <c r="Z521" s="345"/>
      <c r="AA521" s="347"/>
      <c r="AB521" s="345"/>
      <c r="AC521" s="345"/>
      <c r="AD521" s="345"/>
      <c r="AE521" s="68">
        <f t="shared" si="596"/>
        <v>0</v>
      </c>
      <c r="AF521" s="366" t="s">
        <v>1097</v>
      </c>
      <c r="AG521" s="358"/>
      <c r="AH521" s="359"/>
      <c r="AI521" s="360"/>
      <c r="AJ521" s="360" t="s">
        <v>1857</v>
      </c>
      <c r="AK521" s="360" t="str">
        <f t="shared" si="597"/>
        <v/>
      </c>
      <c r="AL521" s="18"/>
      <c r="AM521" s="360" t="e">
        <f t="shared" si="598"/>
        <v>#VALUE!</v>
      </c>
      <c r="AN521" s="360" t="str">
        <f t="shared" si="599"/>
        <v>2</v>
      </c>
      <c r="AO521" s="360"/>
      <c r="AP521" s="346" t="str">
        <f t="shared" si="600"/>
        <v>2</v>
      </c>
      <c r="AQ521" s="360" t="e">
        <f t="shared" si="542"/>
        <v>#VALUE!</v>
      </c>
      <c r="AR521" s="530"/>
      <c r="AS521" s="360"/>
      <c r="AT521" s="362"/>
      <c r="AU521" s="362"/>
      <c r="AV521" s="362"/>
      <c r="AW521" s="362"/>
      <c r="AX521" s="362"/>
      <c r="AY521" s="362"/>
      <c r="AZ521" s="362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</row>
    <row r="522" spans="1:68" ht="20.25" customHeight="1">
      <c r="A522" s="100">
        <v>91</v>
      </c>
      <c r="B522" s="100" t="s">
        <v>71</v>
      </c>
      <c r="C522" s="100" t="s">
        <v>2460</v>
      </c>
      <c r="D522" s="102" t="s">
        <v>916</v>
      </c>
      <c r="E522" s="100" t="str">
        <f t="shared" si="590"/>
        <v>Sama</v>
      </c>
      <c r="F522" s="63">
        <f t="shared" ref="F522:F523" si="602">SUBTOTAL(3,$G$7:G527)</f>
        <v>489</v>
      </c>
      <c r="G522" s="63">
        <v>11</v>
      </c>
      <c r="H522" s="64" t="s">
        <v>71</v>
      </c>
      <c r="I522" s="62" t="s">
        <v>916</v>
      </c>
      <c r="J522" s="66">
        <v>897.11973109985149</v>
      </c>
      <c r="K522" s="533" t="s">
        <v>661</v>
      </c>
      <c r="L522" s="68">
        <f t="shared" si="592"/>
        <v>0</v>
      </c>
      <c r="M522" s="63"/>
      <c r="N522" s="392" t="e">
        <f t="shared" si="593"/>
        <v>#VALUE!</v>
      </c>
      <c r="O522" s="382"/>
      <c r="P522" s="68"/>
      <c r="Q522" s="68"/>
      <c r="R522" s="68"/>
      <c r="S522" s="68">
        <f t="shared" si="594"/>
        <v>0</v>
      </c>
      <c r="T522" s="63"/>
      <c r="U522" s="347"/>
      <c r="V522" s="370"/>
      <c r="W522" s="370"/>
      <c r="X522" s="370"/>
      <c r="Y522" s="68">
        <f t="shared" si="595"/>
        <v>0</v>
      </c>
      <c r="Z522" s="345"/>
      <c r="AA522" s="347"/>
      <c r="AB522" s="345"/>
      <c r="AC522" s="345"/>
      <c r="AD522" s="345"/>
      <c r="AE522" s="68">
        <f t="shared" si="596"/>
        <v>0</v>
      </c>
      <c r="AF522" s="366" t="s">
        <v>1097</v>
      </c>
      <c r="AG522" s="358"/>
      <c r="AH522" s="359"/>
      <c r="AI522" s="360"/>
      <c r="AJ522" s="360" t="s">
        <v>1859</v>
      </c>
      <c r="AK522" s="360" t="str">
        <f t="shared" si="597"/>
        <v/>
      </c>
      <c r="AL522" s="18"/>
      <c r="AM522" s="360" t="e">
        <f t="shared" si="598"/>
        <v>#VALUE!</v>
      </c>
      <c r="AN522" s="360" t="str">
        <f t="shared" si="599"/>
        <v>2</v>
      </c>
      <c r="AO522" s="360"/>
      <c r="AP522" s="346" t="str">
        <f t="shared" si="600"/>
        <v>2</v>
      </c>
      <c r="AQ522" s="360" t="e">
        <f t="shared" si="542"/>
        <v>#VALUE!</v>
      </c>
      <c r="AR522" s="530"/>
      <c r="AS522" s="360"/>
      <c r="AT522" s="362"/>
      <c r="AU522" s="362"/>
      <c r="AV522" s="362"/>
      <c r="AW522" s="362"/>
      <c r="AX522" s="362"/>
      <c r="AY522" s="362"/>
      <c r="AZ522" s="362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</row>
    <row r="523" spans="1:68" ht="20.25" customHeight="1">
      <c r="A523" s="100">
        <v>91</v>
      </c>
      <c r="B523" s="100" t="s">
        <v>71</v>
      </c>
      <c r="C523" s="100" t="s">
        <v>2461</v>
      </c>
      <c r="D523" s="102" t="s">
        <v>917</v>
      </c>
      <c r="E523" s="100" t="str">
        <f t="shared" si="590"/>
        <v>Sama</v>
      </c>
      <c r="F523" s="63">
        <f t="shared" si="602"/>
        <v>490</v>
      </c>
      <c r="G523" s="63">
        <v>13</v>
      </c>
      <c r="H523" s="64" t="s">
        <v>71</v>
      </c>
      <c r="I523" s="62" t="s">
        <v>917</v>
      </c>
      <c r="J523" s="66"/>
      <c r="K523" s="533" t="s">
        <v>661</v>
      </c>
      <c r="L523" s="68">
        <f t="shared" si="592"/>
        <v>0</v>
      </c>
      <c r="M523" s="63"/>
      <c r="N523" s="392" t="e">
        <f t="shared" si="593"/>
        <v>#VALUE!</v>
      </c>
      <c r="O523" s="382"/>
      <c r="P523" s="68"/>
      <c r="Q523" s="68"/>
      <c r="R523" s="68"/>
      <c r="S523" s="68">
        <f t="shared" si="594"/>
        <v>0</v>
      </c>
      <c r="T523" s="63"/>
      <c r="U523" s="347"/>
      <c r="V523" s="370"/>
      <c r="W523" s="370"/>
      <c r="X523" s="370"/>
      <c r="Y523" s="68">
        <f t="shared" si="595"/>
        <v>0</v>
      </c>
      <c r="Z523" s="345"/>
      <c r="AA523" s="347"/>
      <c r="AB523" s="345"/>
      <c r="AC523" s="345"/>
      <c r="AD523" s="345"/>
      <c r="AE523" s="68">
        <f t="shared" si="596"/>
        <v>0</v>
      </c>
      <c r="AF523" s="366" t="s">
        <v>1097</v>
      </c>
      <c r="AG523" s="358"/>
      <c r="AH523" s="359"/>
      <c r="AI523" s="360"/>
      <c r="AJ523" s="360"/>
      <c r="AK523" s="360" t="str">
        <f t="shared" si="597"/>
        <v/>
      </c>
      <c r="AL523" s="18"/>
      <c r="AM523" s="360" t="e">
        <f t="shared" si="598"/>
        <v>#VALUE!</v>
      </c>
      <c r="AN523" s="360" t="str">
        <f t="shared" si="599"/>
        <v>2</v>
      </c>
      <c r="AO523" s="360"/>
      <c r="AP523" s="346" t="str">
        <f t="shared" si="600"/>
        <v>2</v>
      </c>
      <c r="AQ523" s="360" t="e">
        <f t="shared" si="542"/>
        <v>#VALUE!</v>
      </c>
      <c r="AR523" s="530"/>
      <c r="AS523" s="360"/>
      <c r="AT523" s="362"/>
      <c r="AU523" s="362"/>
      <c r="AV523" s="362"/>
      <c r="AW523" s="362"/>
      <c r="AX523" s="362"/>
      <c r="AY523" s="362"/>
      <c r="AZ523" s="362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</row>
    <row r="524" spans="1:68" ht="20.25" customHeight="1">
      <c r="A524" s="100">
        <v>91</v>
      </c>
      <c r="B524" s="100" t="s">
        <v>71</v>
      </c>
      <c r="C524" s="100" t="s">
        <v>2462</v>
      </c>
      <c r="D524" s="102" t="s">
        <v>919</v>
      </c>
      <c r="E524" s="100" t="str">
        <f t="shared" si="590"/>
        <v>Sama</v>
      </c>
      <c r="F524" s="63">
        <f>SUBTOTAL(3,$G$7:G524)</f>
        <v>486</v>
      </c>
      <c r="G524" s="63">
        <v>24</v>
      </c>
      <c r="H524" s="64" t="s">
        <v>71</v>
      </c>
      <c r="I524" s="62" t="s">
        <v>919</v>
      </c>
      <c r="J524" s="66">
        <v>251.15996419909499</v>
      </c>
      <c r="K524" s="533" t="s">
        <v>661</v>
      </c>
      <c r="L524" s="68">
        <f t="shared" si="592"/>
        <v>0</v>
      </c>
      <c r="M524" s="63"/>
      <c r="N524" s="392" t="e">
        <f t="shared" si="593"/>
        <v>#VALUE!</v>
      </c>
      <c r="O524" s="382"/>
      <c r="P524" s="68"/>
      <c r="Q524" s="68"/>
      <c r="R524" s="68"/>
      <c r="S524" s="68">
        <f t="shared" si="594"/>
        <v>0</v>
      </c>
      <c r="T524" s="63"/>
      <c r="U524" s="347"/>
      <c r="V524" s="370"/>
      <c r="W524" s="370"/>
      <c r="X524" s="370"/>
      <c r="Y524" s="68">
        <f t="shared" si="595"/>
        <v>0</v>
      </c>
      <c r="Z524" s="345"/>
      <c r="AA524" s="347"/>
      <c r="AB524" s="345"/>
      <c r="AC524" s="345"/>
      <c r="AD524" s="345"/>
      <c r="AE524" s="68">
        <f t="shared" si="596"/>
        <v>0</v>
      </c>
      <c r="AF524" s="366" t="s">
        <v>1097</v>
      </c>
      <c r="AG524" s="358"/>
      <c r="AH524" s="359"/>
      <c r="AI524" s="360"/>
      <c r="AJ524" s="360"/>
      <c r="AK524" s="360" t="str">
        <f t="shared" si="597"/>
        <v/>
      </c>
      <c r="AL524" s="18"/>
      <c r="AM524" s="360" t="e">
        <f t="shared" si="598"/>
        <v>#VALUE!</v>
      </c>
      <c r="AN524" s="360" t="str">
        <f t="shared" si="599"/>
        <v>2</v>
      </c>
      <c r="AO524" s="360"/>
      <c r="AP524" s="346" t="str">
        <f t="shared" si="600"/>
        <v>2</v>
      </c>
      <c r="AQ524" s="360" t="e">
        <f t="shared" si="542"/>
        <v>#VALUE!</v>
      </c>
      <c r="AR524" s="530"/>
      <c r="AS524" s="360"/>
      <c r="AT524" s="362"/>
      <c r="AU524" s="362"/>
      <c r="AV524" s="362"/>
      <c r="AW524" s="362"/>
      <c r="AX524" s="362"/>
      <c r="AY524" s="362"/>
      <c r="AZ524" s="362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</row>
    <row r="525" spans="1:68" ht="20.25" customHeight="1">
      <c r="A525" s="100">
        <v>91</v>
      </c>
      <c r="B525" s="100" t="s">
        <v>71</v>
      </c>
      <c r="C525" s="100" t="s">
        <v>2463</v>
      </c>
      <c r="D525" s="102" t="s">
        <v>920</v>
      </c>
      <c r="E525" s="100" t="str">
        <f t="shared" si="590"/>
        <v>Sama</v>
      </c>
      <c r="F525" s="63">
        <f>SUBTOTAL(3,$G$7:G546)</f>
        <v>508</v>
      </c>
      <c r="G525" s="63">
        <v>25</v>
      </c>
      <c r="H525" s="64" t="s">
        <v>71</v>
      </c>
      <c r="I525" s="62" t="s">
        <v>920</v>
      </c>
      <c r="J525" s="66"/>
      <c r="K525" s="533" t="s">
        <v>661</v>
      </c>
      <c r="L525" s="68">
        <f t="shared" si="592"/>
        <v>0</v>
      </c>
      <c r="M525" s="63"/>
      <c r="N525" s="392" t="e">
        <f t="shared" si="593"/>
        <v>#VALUE!</v>
      </c>
      <c r="O525" s="382"/>
      <c r="P525" s="68"/>
      <c r="Q525" s="68"/>
      <c r="R525" s="68"/>
      <c r="S525" s="68">
        <f t="shared" si="594"/>
        <v>0</v>
      </c>
      <c r="T525" s="63"/>
      <c r="U525" s="347"/>
      <c r="V525" s="370"/>
      <c r="W525" s="370"/>
      <c r="X525" s="370"/>
      <c r="Y525" s="68">
        <f t="shared" si="595"/>
        <v>0</v>
      </c>
      <c r="Z525" s="345"/>
      <c r="AA525" s="347"/>
      <c r="AB525" s="345"/>
      <c r="AC525" s="345"/>
      <c r="AD525" s="345"/>
      <c r="AE525" s="68">
        <f t="shared" si="596"/>
        <v>0</v>
      </c>
      <c r="AF525" s="366" t="s">
        <v>1097</v>
      </c>
      <c r="AG525" s="358"/>
      <c r="AH525" s="359"/>
      <c r="AI525" s="360"/>
      <c r="AJ525" s="360"/>
      <c r="AK525" s="360" t="str">
        <f t="shared" si="597"/>
        <v/>
      </c>
      <c r="AL525" s="18"/>
      <c r="AM525" s="360" t="e">
        <f t="shared" si="598"/>
        <v>#VALUE!</v>
      </c>
      <c r="AN525" s="360" t="str">
        <f t="shared" si="599"/>
        <v>2</v>
      </c>
      <c r="AO525" s="360"/>
      <c r="AP525" s="346" t="str">
        <f t="shared" si="600"/>
        <v>2</v>
      </c>
      <c r="AQ525" s="360" t="e">
        <f t="shared" si="542"/>
        <v>#VALUE!</v>
      </c>
      <c r="AR525" s="530"/>
      <c r="AS525" s="360"/>
      <c r="AT525" s="362"/>
      <c r="AU525" s="362"/>
      <c r="AV525" s="362"/>
      <c r="AW525" s="362"/>
      <c r="AX525" s="362"/>
      <c r="AY525" s="362"/>
      <c r="AZ525" s="362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</row>
    <row r="526" spans="1:68" ht="20.25" customHeight="1">
      <c r="A526" s="100">
        <v>91</v>
      </c>
      <c r="B526" s="100" t="s">
        <v>71</v>
      </c>
      <c r="C526" s="100" t="s">
        <v>2464</v>
      </c>
      <c r="D526" s="102" t="s">
        <v>921</v>
      </c>
      <c r="E526" s="100" t="str">
        <f t="shared" si="590"/>
        <v>Sama</v>
      </c>
      <c r="F526" s="63">
        <f>SUBTOTAL(3,$G$7:G532)</f>
        <v>494</v>
      </c>
      <c r="G526" s="63">
        <v>27</v>
      </c>
      <c r="H526" s="64" t="s">
        <v>71</v>
      </c>
      <c r="I526" s="62" t="s">
        <v>921</v>
      </c>
      <c r="J526" s="66">
        <v>21.27320218805</v>
      </c>
      <c r="K526" s="533" t="s">
        <v>104</v>
      </c>
      <c r="L526" s="68">
        <f t="shared" si="592"/>
        <v>117849</v>
      </c>
      <c r="M526" s="63"/>
      <c r="N526" s="392">
        <f t="shared" si="593"/>
        <v>2012</v>
      </c>
      <c r="O526" s="382" t="s">
        <v>315</v>
      </c>
      <c r="P526" s="68">
        <v>117849</v>
      </c>
      <c r="Q526" s="68">
        <v>0</v>
      </c>
      <c r="R526" s="68">
        <v>117849</v>
      </c>
      <c r="S526" s="68">
        <f t="shared" si="594"/>
        <v>117849</v>
      </c>
      <c r="T526" s="63"/>
      <c r="U526" s="347"/>
      <c r="V526" s="370"/>
      <c r="W526" s="370"/>
      <c r="X526" s="370"/>
      <c r="Y526" s="68">
        <f t="shared" si="595"/>
        <v>0</v>
      </c>
      <c r="Z526" s="345"/>
      <c r="AA526" s="347"/>
      <c r="AB526" s="345"/>
      <c r="AC526" s="345"/>
      <c r="AD526" s="345"/>
      <c r="AE526" s="68">
        <f t="shared" si="596"/>
        <v>0</v>
      </c>
      <c r="AF526" s="366" t="s">
        <v>1097</v>
      </c>
      <c r="AG526" s="358"/>
      <c r="AH526" s="359"/>
      <c r="AI526" s="360"/>
      <c r="AJ526" s="360"/>
      <c r="AK526" s="360" t="str">
        <f t="shared" si="597"/>
        <v/>
      </c>
      <c r="AL526" s="18"/>
      <c r="AM526" s="360" t="str">
        <f t="shared" si="598"/>
        <v>2</v>
      </c>
      <c r="AN526" s="360" t="str">
        <f t="shared" si="599"/>
        <v>1</v>
      </c>
      <c r="AO526" s="360"/>
      <c r="AP526" s="346" t="str">
        <f t="shared" si="600"/>
        <v>2</v>
      </c>
      <c r="AQ526" s="360" t="str">
        <f t="shared" si="542"/>
        <v>2.1..2</v>
      </c>
      <c r="AR526" s="530"/>
      <c r="AS526" s="360"/>
      <c r="AT526" s="362"/>
      <c r="AU526" s="362"/>
      <c r="AV526" s="362"/>
      <c r="AW526" s="362"/>
      <c r="AX526" s="362"/>
      <c r="AY526" s="362"/>
      <c r="AZ526" s="362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</row>
    <row r="527" spans="1:68" ht="20.25" customHeight="1">
      <c r="A527" s="100">
        <v>92</v>
      </c>
      <c r="B527" s="100" t="s">
        <v>2465</v>
      </c>
      <c r="C527" s="100" t="s">
        <v>2466</v>
      </c>
      <c r="D527" s="102" t="s">
        <v>922</v>
      </c>
      <c r="E527" s="100" t="str">
        <f t="shared" si="590"/>
        <v>Sama</v>
      </c>
      <c r="F527" s="63">
        <f t="shared" ref="F527:F529" si="603">SUBTOTAL(3,$G$7:G527)</f>
        <v>489</v>
      </c>
      <c r="G527" s="63">
        <v>8</v>
      </c>
      <c r="H527" s="64" t="s">
        <v>71</v>
      </c>
      <c r="I527" s="444" t="s">
        <v>922</v>
      </c>
      <c r="J527" s="66">
        <v>391.18495353980893</v>
      </c>
      <c r="K527" s="533" t="s">
        <v>661</v>
      </c>
      <c r="L527" s="68">
        <f t="shared" si="592"/>
        <v>0</v>
      </c>
      <c r="M527" s="63"/>
      <c r="N527" s="392" t="e">
        <f t="shared" si="593"/>
        <v>#VALUE!</v>
      </c>
      <c r="O527" s="382"/>
      <c r="P527" s="68"/>
      <c r="Q527" s="68"/>
      <c r="R527" s="68"/>
      <c r="S527" s="68">
        <f t="shared" si="594"/>
        <v>0</v>
      </c>
      <c r="T527" s="63"/>
      <c r="U527" s="347"/>
      <c r="V527" s="370"/>
      <c r="W527" s="370"/>
      <c r="X527" s="370"/>
      <c r="Y527" s="68">
        <f t="shared" si="595"/>
        <v>0</v>
      </c>
      <c r="Z527" s="345"/>
      <c r="AA527" s="347"/>
      <c r="AB527" s="345"/>
      <c r="AC527" s="345"/>
      <c r="AD527" s="345"/>
      <c r="AE527" s="68">
        <f t="shared" si="596"/>
        <v>0</v>
      </c>
      <c r="AF527" s="366" t="s">
        <v>1097</v>
      </c>
      <c r="AG527" s="358"/>
      <c r="AH527" s="359"/>
      <c r="AI527" s="360"/>
      <c r="AJ527" s="360"/>
      <c r="AK527" s="360" t="str">
        <f t="shared" si="597"/>
        <v/>
      </c>
      <c r="AL527" s="18"/>
      <c r="AM527" s="360" t="e">
        <f t="shared" si="598"/>
        <v>#VALUE!</v>
      </c>
      <c r="AN527" s="360" t="str">
        <f t="shared" si="599"/>
        <v>2</v>
      </c>
      <c r="AO527" s="360"/>
      <c r="AP527" s="346" t="str">
        <f t="shared" si="600"/>
        <v>2</v>
      </c>
      <c r="AQ527" s="360" t="e">
        <f t="shared" si="542"/>
        <v>#VALUE!</v>
      </c>
      <c r="AR527" s="530"/>
      <c r="AS527" s="360"/>
      <c r="AT527" s="362"/>
      <c r="AU527" s="362"/>
      <c r="AV527" s="362"/>
      <c r="AW527" s="362"/>
      <c r="AX527" s="362"/>
      <c r="AY527" s="362"/>
      <c r="AZ527" s="362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</row>
    <row r="528" spans="1:68" ht="20.25" customHeight="1">
      <c r="A528" s="100">
        <v>92</v>
      </c>
      <c r="B528" s="100" t="s">
        <v>2465</v>
      </c>
      <c r="C528" s="100" t="s">
        <v>2467</v>
      </c>
      <c r="D528" s="102" t="s">
        <v>923</v>
      </c>
      <c r="E528" s="100" t="str">
        <f t="shared" si="590"/>
        <v>Sama</v>
      </c>
      <c r="F528" s="63">
        <f t="shared" si="603"/>
        <v>490</v>
      </c>
      <c r="G528" s="63">
        <v>12</v>
      </c>
      <c r="H528" s="64" t="s">
        <v>71</v>
      </c>
      <c r="I528" s="444" t="s">
        <v>923</v>
      </c>
      <c r="J528" s="66"/>
      <c r="K528" s="533" t="s">
        <v>661</v>
      </c>
      <c r="L528" s="68">
        <f t="shared" si="592"/>
        <v>0</v>
      </c>
      <c r="M528" s="63"/>
      <c r="N528" s="392" t="e">
        <f t="shared" si="593"/>
        <v>#VALUE!</v>
      </c>
      <c r="O528" s="382"/>
      <c r="P528" s="68"/>
      <c r="Q528" s="68"/>
      <c r="R528" s="68"/>
      <c r="S528" s="68">
        <f t="shared" si="594"/>
        <v>0</v>
      </c>
      <c r="T528" s="63"/>
      <c r="U528" s="347"/>
      <c r="V528" s="370"/>
      <c r="W528" s="370"/>
      <c r="X528" s="370"/>
      <c r="Y528" s="68">
        <f t="shared" si="595"/>
        <v>0</v>
      </c>
      <c r="Z528" s="345"/>
      <c r="AA528" s="347"/>
      <c r="AB528" s="345"/>
      <c r="AC528" s="345"/>
      <c r="AD528" s="345"/>
      <c r="AE528" s="68">
        <f t="shared" si="596"/>
        <v>0</v>
      </c>
      <c r="AF528" s="366" t="s">
        <v>1097</v>
      </c>
      <c r="AG528" s="358"/>
      <c r="AH528" s="359"/>
      <c r="AI528" s="360"/>
      <c r="AJ528" s="360"/>
      <c r="AK528" s="360" t="str">
        <f t="shared" si="597"/>
        <v/>
      </c>
      <c r="AL528" s="18"/>
      <c r="AM528" s="360" t="e">
        <f t="shared" si="598"/>
        <v>#VALUE!</v>
      </c>
      <c r="AN528" s="360" t="str">
        <f t="shared" si="599"/>
        <v>2</v>
      </c>
      <c r="AO528" s="360"/>
      <c r="AP528" s="346" t="str">
        <f t="shared" si="600"/>
        <v>2</v>
      </c>
      <c r="AQ528" s="360" t="e">
        <f t="shared" si="542"/>
        <v>#VALUE!</v>
      </c>
      <c r="AR528" s="530"/>
      <c r="AS528" s="360"/>
      <c r="AT528" s="362"/>
      <c r="AU528" s="362"/>
      <c r="AV528" s="362"/>
      <c r="AW528" s="362"/>
      <c r="AX528" s="362"/>
      <c r="AY528" s="362"/>
      <c r="AZ528" s="362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</row>
    <row r="529" spans="1:68" ht="20.25" customHeight="1">
      <c r="A529" s="100">
        <v>92</v>
      </c>
      <c r="B529" s="100" t="s">
        <v>2465</v>
      </c>
      <c r="C529" s="100" t="s">
        <v>2461</v>
      </c>
      <c r="D529" s="102" t="s">
        <v>925</v>
      </c>
      <c r="E529" s="100" t="str">
        <f t="shared" si="590"/>
        <v>Sama</v>
      </c>
      <c r="F529" s="63">
        <f t="shared" si="603"/>
        <v>491</v>
      </c>
      <c r="G529" s="63">
        <v>14</v>
      </c>
      <c r="H529" s="64" t="s">
        <v>71</v>
      </c>
      <c r="I529" s="444" t="s">
        <v>925</v>
      </c>
      <c r="J529" s="66"/>
      <c r="K529" s="533" t="s">
        <v>661</v>
      </c>
      <c r="L529" s="68">
        <f t="shared" si="592"/>
        <v>0</v>
      </c>
      <c r="M529" s="63"/>
      <c r="N529" s="392" t="e">
        <f t="shared" si="593"/>
        <v>#VALUE!</v>
      </c>
      <c r="O529" s="382"/>
      <c r="P529" s="68"/>
      <c r="Q529" s="68"/>
      <c r="R529" s="68"/>
      <c r="S529" s="68">
        <f t="shared" si="594"/>
        <v>0</v>
      </c>
      <c r="T529" s="63"/>
      <c r="U529" s="347"/>
      <c r="V529" s="370"/>
      <c r="W529" s="370"/>
      <c r="X529" s="370"/>
      <c r="Y529" s="68">
        <f t="shared" si="595"/>
        <v>0</v>
      </c>
      <c r="Z529" s="345"/>
      <c r="AA529" s="347"/>
      <c r="AB529" s="345"/>
      <c r="AC529" s="345"/>
      <c r="AD529" s="345"/>
      <c r="AE529" s="68">
        <f t="shared" si="596"/>
        <v>0</v>
      </c>
      <c r="AF529" s="366" t="s">
        <v>1097</v>
      </c>
      <c r="AG529" s="358"/>
      <c r="AH529" s="359"/>
      <c r="AI529" s="360"/>
      <c r="AJ529" s="360"/>
      <c r="AK529" s="360" t="str">
        <f t="shared" si="597"/>
        <v/>
      </c>
      <c r="AL529" s="18"/>
      <c r="AM529" s="360" t="e">
        <f t="shared" si="598"/>
        <v>#VALUE!</v>
      </c>
      <c r="AN529" s="360" t="str">
        <f t="shared" si="599"/>
        <v>2</v>
      </c>
      <c r="AO529" s="360"/>
      <c r="AP529" s="346" t="str">
        <f t="shared" si="600"/>
        <v>2</v>
      </c>
      <c r="AQ529" s="360" t="e">
        <f t="shared" si="542"/>
        <v>#VALUE!</v>
      </c>
      <c r="AR529" s="530"/>
      <c r="AS529" s="360"/>
      <c r="AT529" s="362"/>
      <c r="AU529" s="362"/>
      <c r="AV529" s="362"/>
      <c r="AW529" s="362"/>
      <c r="AX529" s="362"/>
      <c r="AY529" s="362"/>
      <c r="AZ529" s="362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</row>
    <row r="530" spans="1:68" ht="20.25" customHeight="1">
      <c r="A530" s="100">
        <v>92</v>
      </c>
      <c r="B530" s="100" t="s">
        <v>2465</v>
      </c>
      <c r="C530" s="100" t="s">
        <v>2468</v>
      </c>
      <c r="D530" s="102" t="s">
        <v>927</v>
      </c>
      <c r="E530" s="100" t="str">
        <f t="shared" si="590"/>
        <v>Sama</v>
      </c>
      <c r="F530" s="63">
        <f t="shared" ref="F530:F531" si="604">SUBTOTAL(3,$G$7:G543)</f>
        <v>505</v>
      </c>
      <c r="G530" s="63">
        <v>19</v>
      </c>
      <c r="H530" s="64" t="s">
        <v>71</v>
      </c>
      <c r="I530" s="444" t="s">
        <v>927</v>
      </c>
      <c r="J530" s="66"/>
      <c r="K530" s="533" t="s">
        <v>661</v>
      </c>
      <c r="L530" s="68">
        <f t="shared" si="592"/>
        <v>0</v>
      </c>
      <c r="M530" s="63"/>
      <c r="N530" s="392" t="e">
        <f t="shared" si="593"/>
        <v>#VALUE!</v>
      </c>
      <c r="O530" s="382"/>
      <c r="P530" s="68"/>
      <c r="Q530" s="68"/>
      <c r="R530" s="68"/>
      <c r="S530" s="68">
        <f t="shared" si="594"/>
        <v>0</v>
      </c>
      <c r="T530" s="63"/>
      <c r="U530" s="347"/>
      <c r="V530" s="370"/>
      <c r="W530" s="370"/>
      <c r="X530" s="370"/>
      <c r="Y530" s="68">
        <f t="shared" si="595"/>
        <v>0</v>
      </c>
      <c r="Z530" s="345"/>
      <c r="AA530" s="347"/>
      <c r="AB530" s="345"/>
      <c r="AC530" s="345"/>
      <c r="AD530" s="345"/>
      <c r="AE530" s="68">
        <f t="shared" si="596"/>
        <v>0</v>
      </c>
      <c r="AF530" s="366" t="s">
        <v>1097</v>
      </c>
      <c r="AG530" s="358"/>
      <c r="AH530" s="359"/>
      <c r="AI530" s="360"/>
      <c r="AJ530" s="360"/>
      <c r="AK530" s="360" t="str">
        <f t="shared" si="597"/>
        <v/>
      </c>
      <c r="AL530" s="18"/>
      <c r="AM530" s="360" t="e">
        <f t="shared" si="598"/>
        <v>#VALUE!</v>
      </c>
      <c r="AN530" s="360" t="str">
        <f t="shared" si="599"/>
        <v>2</v>
      </c>
      <c r="AO530" s="360"/>
      <c r="AP530" s="346" t="str">
        <f t="shared" si="600"/>
        <v>2</v>
      </c>
      <c r="AQ530" s="360" t="e">
        <f t="shared" si="542"/>
        <v>#VALUE!</v>
      </c>
      <c r="AR530" s="530"/>
      <c r="AS530" s="360"/>
      <c r="AT530" s="362"/>
      <c r="AU530" s="362"/>
      <c r="AV530" s="362"/>
      <c r="AW530" s="362"/>
      <c r="AX530" s="362"/>
      <c r="AY530" s="362"/>
      <c r="AZ530" s="362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</row>
    <row r="531" spans="1:68" ht="20.25" customHeight="1">
      <c r="A531" s="100">
        <v>92</v>
      </c>
      <c r="B531" s="100" t="s">
        <v>2465</v>
      </c>
      <c r="C531" s="100" t="s">
        <v>2469</v>
      </c>
      <c r="D531" s="102" t="s">
        <v>928</v>
      </c>
      <c r="E531" s="100" t="str">
        <f t="shared" si="590"/>
        <v>Sama</v>
      </c>
      <c r="F531" s="63">
        <f t="shared" si="604"/>
        <v>506</v>
      </c>
      <c r="G531" s="63">
        <v>21</v>
      </c>
      <c r="H531" s="64" t="s">
        <v>71</v>
      </c>
      <c r="I531" s="444" t="s">
        <v>928</v>
      </c>
      <c r="J531" s="66">
        <v>23.819142198600002</v>
      </c>
      <c r="K531" s="533" t="s">
        <v>661</v>
      </c>
      <c r="L531" s="68">
        <f t="shared" si="592"/>
        <v>0</v>
      </c>
      <c r="M531" s="63"/>
      <c r="N531" s="392" t="e">
        <f t="shared" si="593"/>
        <v>#VALUE!</v>
      </c>
      <c r="O531" s="382"/>
      <c r="P531" s="68"/>
      <c r="Q531" s="68"/>
      <c r="R531" s="68"/>
      <c r="S531" s="68">
        <f t="shared" si="594"/>
        <v>0</v>
      </c>
      <c r="T531" s="63"/>
      <c r="U531" s="347"/>
      <c r="V531" s="370"/>
      <c r="W531" s="370"/>
      <c r="X531" s="370"/>
      <c r="Y531" s="68">
        <f t="shared" si="595"/>
        <v>0</v>
      </c>
      <c r="Z531" s="345"/>
      <c r="AA531" s="347"/>
      <c r="AB531" s="345"/>
      <c r="AC531" s="345"/>
      <c r="AD531" s="345"/>
      <c r="AE531" s="68">
        <f t="shared" si="596"/>
        <v>0</v>
      </c>
      <c r="AF531" s="366" t="s">
        <v>1097</v>
      </c>
      <c r="AG531" s="358"/>
      <c r="AH531" s="359"/>
      <c r="AI531" s="360"/>
      <c r="AJ531" s="360"/>
      <c r="AK531" s="360" t="str">
        <f t="shared" si="597"/>
        <v/>
      </c>
      <c r="AL531" s="18"/>
      <c r="AM531" s="360" t="e">
        <f t="shared" si="598"/>
        <v>#VALUE!</v>
      </c>
      <c r="AN531" s="360" t="str">
        <f t="shared" si="599"/>
        <v>2</v>
      </c>
      <c r="AO531" s="360"/>
      <c r="AP531" s="346" t="str">
        <f t="shared" si="600"/>
        <v>2</v>
      </c>
      <c r="AQ531" s="360" t="e">
        <f t="shared" si="542"/>
        <v>#VALUE!</v>
      </c>
      <c r="AR531" s="530"/>
      <c r="AS531" s="360"/>
      <c r="AT531" s="362"/>
      <c r="AU531" s="362"/>
      <c r="AV531" s="362"/>
      <c r="AW531" s="362"/>
      <c r="AX531" s="362"/>
      <c r="AY531" s="362"/>
      <c r="AZ531" s="362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</row>
    <row r="532" spans="1:68" ht="20.25" customHeight="1">
      <c r="A532" s="100">
        <v>92</v>
      </c>
      <c r="B532" s="100" t="s">
        <v>2465</v>
      </c>
      <c r="C532" s="100" t="s">
        <v>2470</v>
      </c>
      <c r="D532" s="102" t="s">
        <v>929</v>
      </c>
      <c r="E532" s="100" t="str">
        <f t="shared" si="590"/>
        <v>Sama</v>
      </c>
      <c r="F532" s="63">
        <f t="shared" ref="F532:F533" si="605">SUBTOTAL(3,$G$7:G532)</f>
        <v>494</v>
      </c>
      <c r="G532" s="63">
        <v>26</v>
      </c>
      <c r="H532" s="64" t="s">
        <v>71</v>
      </c>
      <c r="I532" s="444" t="s">
        <v>929</v>
      </c>
      <c r="J532" s="66"/>
      <c r="K532" s="533" t="s">
        <v>661</v>
      </c>
      <c r="L532" s="68">
        <f t="shared" si="592"/>
        <v>0</v>
      </c>
      <c r="M532" s="63"/>
      <c r="N532" s="392" t="e">
        <f t="shared" si="593"/>
        <v>#VALUE!</v>
      </c>
      <c r="O532" s="382"/>
      <c r="P532" s="68"/>
      <c r="Q532" s="68"/>
      <c r="R532" s="68"/>
      <c r="S532" s="68">
        <f t="shared" si="594"/>
        <v>0</v>
      </c>
      <c r="T532" s="63"/>
      <c r="U532" s="347"/>
      <c r="V532" s="370"/>
      <c r="W532" s="370"/>
      <c r="X532" s="370"/>
      <c r="Y532" s="68">
        <f t="shared" si="595"/>
        <v>0</v>
      </c>
      <c r="Z532" s="345"/>
      <c r="AA532" s="347"/>
      <c r="AB532" s="345"/>
      <c r="AC532" s="345"/>
      <c r="AD532" s="345"/>
      <c r="AE532" s="68">
        <f t="shared" si="596"/>
        <v>0</v>
      </c>
      <c r="AF532" s="366" t="s">
        <v>1097</v>
      </c>
      <c r="AG532" s="358"/>
      <c r="AH532" s="359"/>
      <c r="AI532" s="360"/>
      <c r="AJ532" s="360"/>
      <c r="AK532" s="360" t="str">
        <f t="shared" si="597"/>
        <v/>
      </c>
      <c r="AL532" s="18"/>
      <c r="AM532" s="360" t="e">
        <f t="shared" si="598"/>
        <v>#VALUE!</v>
      </c>
      <c r="AN532" s="360" t="str">
        <f t="shared" si="599"/>
        <v>2</v>
      </c>
      <c r="AO532" s="360"/>
      <c r="AP532" s="346" t="str">
        <f t="shared" si="600"/>
        <v>2</v>
      </c>
      <c r="AQ532" s="360" t="e">
        <f t="shared" si="542"/>
        <v>#VALUE!</v>
      </c>
      <c r="AR532" s="530"/>
      <c r="AS532" s="360"/>
      <c r="AT532" s="362"/>
      <c r="AU532" s="362"/>
      <c r="AV532" s="362"/>
      <c r="AW532" s="362"/>
      <c r="AX532" s="362"/>
      <c r="AY532" s="362"/>
      <c r="AZ532" s="362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</row>
    <row r="533" spans="1:68" ht="20.25" customHeight="1">
      <c r="A533" s="100">
        <v>92</v>
      </c>
      <c r="B533" s="100" t="s">
        <v>2465</v>
      </c>
      <c r="C533" s="100" t="s">
        <v>2471</v>
      </c>
      <c r="D533" s="102" t="s">
        <v>931</v>
      </c>
      <c r="E533" s="100" t="str">
        <f t="shared" si="590"/>
        <v>Sama</v>
      </c>
      <c r="F533" s="63">
        <f t="shared" si="605"/>
        <v>495</v>
      </c>
      <c r="G533" s="63">
        <v>28</v>
      </c>
      <c r="H533" s="64" t="s">
        <v>71</v>
      </c>
      <c r="I533" s="444" t="s">
        <v>931</v>
      </c>
      <c r="J533" s="66"/>
      <c r="K533" s="533" t="s">
        <v>104</v>
      </c>
      <c r="L533" s="68">
        <f t="shared" si="592"/>
        <v>125</v>
      </c>
      <c r="M533" s="63"/>
      <c r="N533" s="392">
        <f t="shared" si="593"/>
        <v>2011</v>
      </c>
      <c r="O533" s="382" t="s">
        <v>932</v>
      </c>
      <c r="P533" s="68">
        <v>125</v>
      </c>
      <c r="Q533" s="68">
        <v>0</v>
      </c>
      <c r="R533" s="68">
        <v>125</v>
      </c>
      <c r="S533" s="68">
        <f t="shared" si="594"/>
        <v>125</v>
      </c>
      <c r="T533" s="63"/>
      <c r="U533" s="347"/>
      <c r="V533" s="370"/>
      <c r="W533" s="370"/>
      <c r="X533" s="370"/>
      <c r="Y533" s="68">
        <f t="shared" si="595"/>
        <v>0</v>
      </c>
      <c r="Z533" s="345"/>
      <c r="AA533" s="347"/>
      <c r="AB533" s="345"/>
      <c r="AC533" s="345"/>
      <c r="AD533" s="345"/>
      <c r="AE533" s="68">
        <f t="shared" si="596"/>
        <v>0</v>
      </c>
      <c r="AF533" s="366" t="s">
        <v>1097</v>
      </c>
      <c r="AG533" s="358"/>
      <c r="AH533" s="359"/>
      <c r="AI533" s="360"/>
      <c r="AJ533" s="360"/>
      <c r="AK533" s="360" t="str">
        <f t="shared" si="597"/>
        <v/>
      </c>
      <c r="AL533" s="18"/>
      <c r="AM533" s="360" t="str">
        <f t="shared" si="598"/>
        <v>2</v>
      </c>
      <c r="AN533" s="360" t="str">
        <f t="shared" si="599"/>
        <v>1</v>
      </c>
      <c r="AO533" s="360"/>
      <c r="AP533" s="346" t="str">
        <f t="shared" si="600"/>
        <v>2</v>
      </c>
      <c r="AQ533" s="360" t="str">
        <f t="shared" si="542"/>
        <v>2.1..2</v>
      </c>
      <c r="AR533" s="530"/>
      <c r="AS533" s="360"/>
      <c r="AT533" s="362"/>
      <c r="AU533" s="362"/>
      <c r="AV533" s="362"/>
      <c r="AW533" s="362"/>
      <c r="AX533" s="362"/>
      <c r="AY533" s="362"/>
      <c r="AZ533" s="362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</row>
    <row r="534" spans="1:68" ht="20.25" customHeight="1">
      <c r="A534" s="100">
        <v>92</v>
      </c>
      <c r="B534" s="100" t="s">
        <v>2465</v>
      </c>
      <c r="C534" s="100" t="s">
        <v>2472</v>
      </c>
      <c r="D534" s="102" t="s">
        <v>933</v>
      </c>
      <c r="E534" s="100" t="str">
        <f t="shared" si="590"/>
        <v>Sama</v>
      </c>
      <c r="F534" s="63">
        <f>SUBTOTAL(3,$G$7:G546)</f>
        <v>508</v>
      </c>
      <c r="G534" s="63">
        <v>29</v>
      </c>
      <c r="H534" s="64" t="s">
        <v>71</v>
      </c>
      <c r="I534" s="444" t="s">
        <v>933</v>
      </c>
      <c r="J534" s="66"/>
      <c r="K534" s="533" t="s">
        <v>661</v>
      </c>
      <c r="L534" s="68">
        <f t="shared" si="592"/>
        <v>0</v>
      </c>
      <c r="M534" s="63"/>
      <c r="N534" s="392" t="e">
        <f t="shared" si="593"/>
        <v>#VALUE!</v>
      </c>
      <c r="O534" s="382"/>
      <c r="P534" s="68"/>
      <c r="Q534" s="68"/>
      <c r="R534" s="68"/>
      <c r="S534" s="68">
        <f t="shared" si="594"/>
        <v>0</v>
      </c>
      <c r="T534" s="63"/>
      <c r="U534" s="347"/>
      <c r="V534" s="370"/>
      <c r="W534" s="370"/>
      <c r="X534" s="370"/>
      <c r="Y534" s="68">
        <f t="shared" si="595"/>
        <v>0</v>
      </c>
      <c r="Z534" s="345"/>
      <c r="AA534" s="347"/>
      <c r="AB534" s="345"/>
      <c r="AC534" s="345"/>
      <c r="AD534" s="345"/>
      <c r="AE534" s="68">
        <f t="shared" si="596"/>
        <v>0</v>
      </c>
      <c r="AF534" s="366" t="s">
        <v>1097</v>
      </c>
      <c r="AG534" s="358"/>
      <c r="AH534" s="359"/>
      <c r="AI534" s="360"/>
      <c r="AJ534" s="360"/>
      <c r="AK534" s="360" t="str">
        <f t="shared" si="597"/>
        <v/>
      </c>
      <c r="AL534" s="18"/>
      <c r="AM534" s="360" t="e">
        <f t="shared" si="598"/>
        <v>#VALUE!</v>
      </c>
      <c r="AN534" s="360" t="str">
        <f t="shared" si="599"/>
        <v>2</v>
      </c>
      <c r="AO534" s="360"/>
      <c r="AP534" s="346" t="str">
        <f t="shared" si="600"/>
        <v>2</v>
      </c>
      <c r="AQ534" s="360" t="e">
        <f t="shared" si="542"/>
        <v>#VALUE!</v>
      </c>
      <c r="AR534" s="530"/>
      <c r="AS534" s="360"/>
      <c r="AT534" s="362"/>
      <c r="AU534" s="362"/>
      <c r="AV534" s="362"/>
      <c r="AW534" s="362"/>
      <c r="AX534" s="362"/>
      <c r="AY534" s="362"/>
      <c r="AZ534" s="362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</row>
    <row r="535" spans="1:68" ht="20.25" customHeight="1">
      <c r="A535" s="100">
        <v>92</v>
      </c>
      <c r="B535" s="100" t="s">
        <v>2473</v>
      </c>
      <c r="C535" s="100" t="s">
        <v>2474</v>
      </c>
      <c r="D535" s="102" t="s">
        <v>935</v>
      </c>
      <c r="E535" s="100" t="str">
        <f t="shared" si="590"/>
        <v>Sama</v>
      </c>
      <c r="F535" s="63">
        <f t="shared" ref="F535:F537" si="606">SUBTOTAL(3,$G$7:G535)</f>
        <v>497</v>
      </c>
      <c r="G535" s="63">
        <v>1</v>
      </c>
      <c r="H535" s="64" t="s">
        <v>71</v>
      </c>
      <c r="I535" s="445" t="s">
        <v>935</v>
      </c>
      <c r="J535" s="84"/>
      <c r="K535" s="533" t="s">
        <v>661</v>
      </c>
      <c r="L535" s="68">
        <f t="shared" si="592"/>
        <v>0</v>
      </c>
      <c r="M535" s="63"/>
      <c r="N535" s="392" t="e">
        <f t="shared" si="593"/>
        <v>#VALUE!</v>
      </c>
      <c r="O535" s="382"/>
      <c r="P535" s="68"/>
      <c r="Q535" s="68"/>
      <c r="R535" s="68"/>
      <c r="S535" s="68">
        <f t="shared" si="594"/>
        <v>0</v>
      </c>
      <c r="T535" s="63"/>
      <c r="U535" s="347"/>
      <c r="V535" s="370"/>
      <c r="W535" s="370"/>
      <c r="X535" s="370"/>
      <c r="Y535" s="68">
        <f t="shared" si="595"/>
        <v>0</v>
      </c>
      <c r="Z535" s="345"/>
      <c r="AA535" s="347"/>
      <c r="AB535" s="345"/>
      <c r="AC535" s="345"/>
      <c r="AD535" s="345"/>
      <c r="AE535" s="68">
        <f t="shared" si="596"/>
        <v>0</v>
      </c>
      <c r="AF535" s="366" t="s">
        <v>1097</v>
      </c>
      <c r="AG535" s="358"/>
      <c r="AH535" s="359"/>
      <c r="AI535" s="360"/>
      <c r="AJ535" s="360"/>
      <c r="AK535" s="360" t="str">
        <f t="shared" si="597"/>
        <v/>
      </c>
      <c r="AL535" s="18"/>
      <c r="AM535" s="360" t="e">
        <f t="shared" si="598"/>
        <v>#VALUE!</v>
      </c>
      <c r="AN535" s="360" t="str">
        <f t="shared" si="599"/>
        <v>2</v>
      </c>
      <c r="AO535" s="360"/>
      <c r="AP535" s="346" t="str">
        <f t="shared" si="600"/>
        <v>2</v>
      </c>
      <c r="AQ535" s="360" t="e">
        <f t="shared" si="542"/>
        <v>#VALUE!</v>
      </c>
      <c r="AR535" s="530"/>
      <c r="AS535" s="360"/>
      <c r="AT535" s="362"/>
      <c r="AU535" s="362"/>
      <c r="AV535" s="362"/>
      <c r="AW535" s="362"/>
      <c r="AX535" s="362"/>
      <c r="AY535" s="362"/>
      <c r="AZ535" s="362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</row>
    <row r="536" spans="1:68" ht="20.25" customHeight="1">
      <c r="A536" s="100">
        <v>92</v>
      </c>
      <c r="B536" s="100" t="s">
        <v>2473</v>
      </c>
      <c r="C536" s="100" t="s">
        <v>2475</v>
      </c>
      <c r="D536" s="102" t="s">
        <v>936</v>
      </c>
      <c r="E536" s="100" t="str">
        <f t="shared" si="590"/>
        <v>Sama</v>
      </c>
      <c r="F536" s="63">
        <f t="shared" si="606"/>
        <v>498</v>
      </c>
      <c r="G536" s="63">
        <v>3</v>
      </c>
      <c r="H536" s="64" t="s">
        <v>71</v>
      </c>
      <c r="I536" s="445" t="s">
        <v>936</v>
      </c>
      <c r="J536" s="84"/>
      <c r="K536" s="533" t="s">
        <v>661</v>
      </c>
      <c r="L536" s="68">
        <f t="shared" si="592"/>
        <v>0</v>
      </c>
      <c r="M536" s="63"/>
      <c r="N536" s="392" t="e">
        <f t="shared" si="593"/>
        <v>#VALUE!</v>
      </c>
      <c r="O536" s="382"/>
      <c r="P536" s="68"/>
      <c r="Q536" s="68"/>
      <c r="R536" s="68"/>
      <c r="S536" s="68">
        <f t="shared" si="594"/>
        <v>0</v>
      </c>
      <c r="T536" s="63"/>
      <c r="U536" s="347"/>
      <c r="V536" s="370"/>
      <c r="W536" s="370"/>
      <c r="X536" s="370"/>
      <c r="Y536" s="68">
        <f t="shared" si="595"/>
        <v>0</v>
      </c>
      <c r="Z536" s="345"/>
      <c r="AA536" s="347"/>
      <c r="AB536" s="345"/>
      <c r="AC536" s="345"/>
      <c r="AD536" s="345"/>
      <c r="AE536" s="68">
        <f t="shared" si="596"/>
        <v>0</v>
      </c>
      <c r="AF536" s="366" t="s">
        <v>1097</v>
      </c>
      <c r="AG536" s="358"/>
      <c r="AH536" s="359"/>
      <c r="AI536" s="360"/>
      <c r="AJ536" s="360"/>
      <c r="AK536" s="360" t="str">
        <f t="shared" si="597"/>
        <v/>
      </c>
      <c r="AL536" s="18"/>
      <c r="AM536" s="360" t="e">
        <f t="shared" si="598"/>
        <v>#VALUE!</v>
      </c>
      <c r="AN536" s="360" t="str">
        <f t="shared" si="599"/>
        <v>2</v>
      </c>
      <c r="AO536" s="360"/>
      <c r="AP536" s="346" t="str">
        <f t="shared" si="600"/>
        <v>2</v>
      </c>
      <c r="AQ536" s="360" t="e">
        <f t="shared" si="542"/>
        <v>#VALUE!</v>
      </c>
      <c r="AR536" s="530"/>
      <c r="AS536" s="360"/>
      <c r="AT536" s="362"/>
      <c r="AU536" s="362"/>
      <c r="AV536" s="362"/>
      <c r="AW536" s="362"/>
      <c r="AX536" s="362"/>
      <c r="AY536" s="362"/>
      <c r="AZ536" s="362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</row>
    <row r="537" spans="1:68" ht="20.25" customHeight="1">
      <c r="A537" s="100">
        <v>92</v>
      </c>
      <c r="B537" s="100" t="s">
        <v>2473</v>
      </c>
      <c r="C537" s="100" t="s">
        <v>2476</v>
      </c>
      <c r="D537" s="102" t="s">
        <v>937</v>
      </c>
      <c r="E537" s="100" t="str">
        <f t="shared" si="590"/>
        <v>Sama</v>
      </c>
      <c r="F537" s="63">
        <f t="shared" si="606"/>
        <v>499</v>
      </c>
      <c r="G537" s="63">
        <v>15</v>
      </c>
      <c r="H537" s="64" t="s">
        <v>71</v>
      </c>
      <c r="I537" s="445" t="s">
        <v>937</v>
      </c>
      <c r="J537" s="66">
        <v>42.241318156858</v>
      </c>
      <c r="K537" s="533" t="s">
        <v>661</v>
      </c>
      <c r="L537" s="68">
        <f t="shared" si="592"/>
        <v>0</v>
      </c>
      <c r="M537" s="63"/>
      <c r="N537" s="392" t="e">
        <f t="shared" si="593"/>
        <v>#VALUE!</v>
      </c>
      <c r="O537" s="382"/>
      <c r="P537" s="68"/>
      <c r="Q537" s="68"/>
      <c r="R537" s="68"/>
      <c r="S537" s="68">
        <f t="shared" si="594"/>
        <v>0</v>
      </c>
      <c r="T537" s="63"/>
      <c r="U537" s="347"/>
      <c r="V537" s="370"/>
      <c r="W537" s="370"/>
      <c r="X537" s="370"/>
      <c r="Y537" s="68">
        <f t="shared" si="595"/>
        <v>0</v>
      </c>
      <c r="Z537" s="345"/>
      <c r="AA537" s="347"/>
      <c r="AB537" s="345"/>
      <c r="AC537" s="345"/>
      <c r="AD537" s="345"/>
      <c r="AE537" s="68">
        <f t="shared" si="596"/>
        <v>0</v>
      </c>
      <c r="AF537" s="366" t="s">
        <v>1097</v>
      </c>
      <c r="AG537" s="358"/>
      <c r="AH537" s="359"/>
      <c r="AI537" s="360"/>
      <c r="AJ537" s="360"/>
      <c r="AK537" s="360" t="str">
        <f t="shared" si="597"/>
        <v/>
      </c>
      <c r="AL537" s="18"/>
      <c r="AM537" s="360" t="e">
        <f t="shared" si="598"/>
        <v>#VALUE!</v>
      </c>
      <c r="AN537" s="360" t="str">
        <f t="shared" si="599"/>
        <v>2</v>
      </c>
      <c r="AO537" s="360"/>
      <c r="AP537" s="346" t="str">
        <f t="shared" si="600"/>
        <v>2</v>
      </c>
      <c r="AQ537" s="360" t="e">
        <f t="shared" si="542"/>
        <v>#VALUE!</v>
      </c>
      <c r="AR537" s="530"/>
      <c r="AS537" s="360"/>
      <c r="AT537" s="362"/>
      <c r="AU537" s="362"/>
      <c r="AV537" s="362"/>
      <c r="AW537" s="362"/>
      <c r="AX537" s="362"/>
      <c r="AY537" s="362"/>
      <c r="AZ537" s="362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</row>
    <row r="538" spans="1:68" ht="20.25" customHeight="1">
      <c r="A538" s="100">
        <v>92</v>
      </c>
      <c r="B538" s="100" t="s">
        <v>2473</v>
      </c>
      <c r="C538" s="100" t="s">
        <v>2477</v>
      </c>
      <c r="D538" s="102" t="s">
        <v>938</v>
      </c>
      <c r="E538" s="100" t="str">
        <f t="shared" si="590"/>
        <v>Sama</v>
      </c>
      <c r="F538" s="63">
        <f>SUBTOTAL(3,$G$7:G541)</f>
        <v>503</v>
      </c>
      <c r="G538" s="63">
        <v>16</v>
      </c>
      <c r="H538" s="64" t="s">
        <v>71</v>
      </c>
      <c r="I538" s="445" t="s">
        <v>938</v>
      </c>
      <c r="J538" s="66">
        <v>30258.299702080792</v>
      </c>
      <c r="K538" s="533" t="s">
        <v>91</v>
      </c>
      <c r="L538" s="68">
        <f t="shared" si="592"/>
        <v>30432.39</v>
      </c>
      <c r="M538" s="63"/>
      <c r="N538" s="392" t="e">
        <f t="shared" si="593"/>
        <v>#VALUE!</v>
      </c>
      <c r="O538" s="382"/>
      <c r="P538" s="68"/>
      <c r="Q538" s="68"/>
      <c r="R538" s="68"/>
      <c r="S538" s="68">
        <f t="shared" si="594"/>
        <v>0</v>
      </c>
      <c r="T538" s="446" t="s">
        <v>1076</v>
      </c>
      <c r="U538" s="553" t="s">
        <v>1865</v>
      </c>
      <c r="V538" s="447">
        <v>30432.39</v>
      </c>
      <c r="W538" s="447"/>
      <c r="X538" s="447"/>
      <c r="Y538" s="68">
        <f t="shared" si="595"/>
        <v>30432.39</v>
      </c>
      <c r="Z538" s="345"/>
      <c r="AA538" s="347"/>
      <c r="AB538" s="345"/>
      <c r="AC538" s="345"/>
      <c r="AD538" s="345"/>
      <c r="AE538" s="68">
        <f t="shared" si="596"/>
        <v>0</v>
      </c>
      <c r="AF538" s="366" t="s">
        <v>1347</v>
      </c>
      <c r="AG538" s="358"/>
      <c r="AH538" s="359"/>
      <c r="AI538" s="360" t="s">
        <v>1077</v>
      </c>
      <c r="AJ538" s="360" t="s">
        <v>1866</v>
      </c>
      <c r="AK538" s="360" t="str">
        <f t="shared" si="597"/>
        <v>V</v>
      </c>
      <c r="AL538" s="18"/>
      <c r="AM538" s="360" t="e">
        <f t="shared" si="598"/>
        <v>#VALUE!</v>
      </c>
      <c r="AN538" s="360" t="str">
        <f t="shared" si="599"/>
        <v>2</v>
      </c>
      <c r="AO538" s="360"/>
      <c r="AP538" s="346" t="str">
        <f t="shared" si="600"/>
        <v>1</v>
      </c>
      <c r="AQ538" s="360" t="e">
        <f t="shared" si="542"/>
        <v>#VALUE!</v>
      </c>
      <c r="AR538" s="530"/>
      <c r="AS538" s="362" t="s">
        <v>2478</v>
      </c>
      <c r="AT538" s="367">
        <v>30258</v>
      </c>
      <c r="AU538" s="367">
        <v>30432</v>
      </c>
      <c r="AV538" s="368">
        <f>AU538/AT538</f>
        <v>1.0057505453103313</v>
      </c>
      <c r="AW538" s="367">
        <v>20465</v>
      </c>
      <c r="AX538" s="368">
        <f>AW538/AT538</f>
        <v>0.67635005618348865</v>
      </c>
      <c r="AY538" s="367">
        <v>9772</v>
      </c>
      <c r="AZ538" s="368">
        <f>AY538/AT538</f>
        <v>0.32295591248595412</v>
      </c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</row>
    <row r="539" spans="1:68" ht="20.25" customHeight="1">
      <c r="A539" s="100">
        <v>92</v>
      </c>
      <c r="B539" s="100" t="s">
        <v>2479</v>
      </c>
      <c r="C539" s="100" t="s">
        <v>2480</v>
      </c>
      <c r="D539" s="102" t="s">
        <v>940</v>
      </c>
      <c r="E539" s="100" t="str">
        <f t="shared" si="590"/>
        <v>Sama</v>
      </c>
      <c r="F539" s="63">
        <f t="shared" ref="F539:F546" si="607">SUBTOTAL(3,$G$7:G539)</f>
        <v>501</v>
      </c>
      <c r="G539" s="63">
        <v>4</v>
      </c>
      <c r="H539" s="64" t="s">
        <v>71</v>
      </c>
      <c r="I539" s="448" t="s">
        <v>940</v>
      </c>
      <c r="J539" s="84"/>
      <c r="K539" s="533" t="s">
        <v>661</v>
      </c>
      <c r="L539" s="68">
        <f t="shared" si="592"/>
        <v>0</v>
      </c>
      <c r="M539" s="63"/>
      <c r="N539" s="392" t="e">
        <f t="shared" si="593"/>
        <v>#VALUE!</v>
      </c>
      <c r="O539" s="382"/>
      <c r="P539" s="68"/>
      <c r="Q539" s="68"/>
      <c r="R539" s="68"/>
      <c r="S539" s="68">
        <f t="shared" si="594"/>
        <v>0</v>
      </c>
      <c r="T539" s="63"/>
      <c r="U539" s="347"/>
      <c r="V539" s="370"/>
      <c r="W539" s="370"/>
      <c r="X539" s="370"/>
      <c r="Y539" s="68">
        <f t="shared" si="595"/>
        <v>0</v>
      </c>
      <c r="Z539" s="345"/>
      <c r="AA539" s="347"/>
      <c r="AB539" s="345"/>
      <c r="AC539" s="345"/>
      <c r="AD539" s="345"/>
      <c r="AE539" s="68">
        <f t="shared" si="596"/>
        <v>0</v>
      </c>
      <c r="AF539" s="366" t="s">
        <v>1097</v>
      </c>
      <c r="AG539" s="358"/>
      <c r="AH539" s="359"/>
      <c r="AI539" s="360"/>
      <c r="AJ539" s="360"/>
      <c r="AK539" s="360" t="str">
        <f t="shared" si="597"/>
        <v/>
      </c>
      <c r="AL539" s="18"/>
      <c r="AM539" s="360" t="e">
        <f t="shared" si="598"/>
        <v>#VALUE!</v>
      </c>
      <c r="AN539" s="360" t="str">
        <f t="shared" si="599"/>
        <v>2</v>
      </c>
      <c r="AO539" s="360"/>
      <c r="AP539" s="346" t="str">
        <f t="shared" si="600"/>
        <v>2</v>
      </c>
      <c r="AQ539" s="360" t="e">
        <f t="shared" si="542"/>
        <v>#VALUE!</v>
      </c>
      <c r="AR539" s="530"/>
      <c r="AS539" s="360"/>
      <c r="AT539" s="362"/>
      <c r="AU539" s="362"/>
      <c r="AV539" s="362"/>
      <c r="AW539" s="362"/>
      <c r="AX539" s="362"/>
      <c r="AY539" s="362"/>
      <c r="AZ539" s="362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</row>
    <row r="540" spans="1:68" ht="20.25" customHeight="1">
      <c r="A540" s="100">
        <v>92</v>
      </c>
      <c r="B540" s="100" t="s">
        <v>2479</v>
      </c>
      <c r="C540" s="100" t="s">
        <v>2481</v>
      </c>
      <c r="D540" s="102" t="s">
        <v>942</v>
      </c>
      <c r="E540" s="100" t="str">
        <f t="shared" si="590"/>
        <v>Sama</v>
      </c>
      <c r="F540" s="63">
        <f t="shared" si="607"/>
        <v>502</v>
      </c>
      <c r="G540" s="63">
        <v>5</v>
      </c>
      <c r="H540" s="64" t="s">
        <v>71</v>
      </c>
      <c r="I540" s="448" t="s">
        <v>942</v>
      </c>
      <c r="J540" s="66"/>
      <c r="K540" s="533" t="s">
        <v>91</v>
      </c>
      <c r="L540" s="68">
        <f t="shared" si="592"/>
        <v>23842</v>
      </c>
      <c r="M540" s="63"/>
      <c r="N540" s="392" t="e">
        <f t="shared" si="593"/>
        <v>#VALUE!</v>
      </c>
      <c r="O540" s="382"/>
      <c r="P540" s="68"/>
      <c r="Q540" s="68"/>
      <c r="R540" s="68"/>
      <c r="S540" s="68">
        <f t="shared" si="594"/>
        <v>0</v>
      </c>
      <c r="T540" s="63" t="s">
        <v>1076</v>
      </c>
      <c r="U540" s="347" t="s">
        <v>1850</v>
      </c>
      <c r="V540" s="370">
        <v>23842</v>
      </c>
      <c r="W540" s="370">
        <v>0</v>
      </c>
      <c r="X540" s="370">
        <v>23842</v>
      </c>
      <c r="Y540" s="68">
        <f t="shared" si="595"/>
        <v>23842</v>
      </c>
      <c r="Z540" s="345"/>
      <c r="AA540" s="347" t="s">
        <v>1850</v>
      </c>
      <c r="AB540" s="345">
        <v>23842</v>
      </c>
      <c r="AC540" s="345">
        <v>0</v>
      </c>
      <c r="AD540" s="345">
        <v>23842</v>
      </c>
      <c r="AE540" s="68">
        <f t="shared" si="596"/>
        <v>23842</v>
      </c>
      <c r="AF540" s="366">
        <v>2020</v>
      </c>
      <c r="AG540" s="358"/>
      <c r="AH540" s="359"/>
      <c r="AI540" s="360"/>
      <c r="AJ540" s="360"/>
      <c r="AK540" s="360" t="str">
        <f t="shared" si="597"/>
        <v>V</v>
      </c>
      <c r="AL540" s="18"/>
      <c r="AM540" s="360" t="e">
        <f t="shared" si="598"/>
        <v>#VALUE!</v>
      </c>
      <c r="AN540" s="360" t="str">
        <f t="shared" si="599"/>
        <v>2</v>
      </c>
      <c r="AO540" s="360"/>
      <c r="AP540" s="346" t="str">
        <f t="shared" si="600"/>
        <v>1</v>
      </c>
      <c r="AQ540" s="360" t="e">
        <f t="shared" si="542"/>
        <v>#VALUE!</v>
      </c>
      <c r="AR540" s="530"/>
      <c r="AS540" s="362" t="s">
        <v>2482</v>
      </c>
      <c r="AT540" s="362" t="s">
        <v>1032</v>
      </c>
      <c r="AU540" s="367">
        <v>23842</v>
      </c>
      <c r="AV540" s="368" t="e">
        <f>AU540/AT540</f>
        <v>#VALUE!</v>
      </c>
      <c r="AW540" s="362"/>
      <c r="AX540" s="368" t="e">
        <f>AW540/AT540</f>
        <v>#VALUE!</v>
      </c>
      <c r="AY540" s="362"/>
      <c r="AZ540" s="368" t="e">
        <f>AY540/AT540</f>
        <v>#VALUE!</v>
      </c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</row>
    <row r="541" spans="1:68" ht="20.25" customHeight="1">
      <c r="A541" s="100">
        <v>92</v>
      </c>
      <c r="B541" s="100" t="s">
        <v>2479</v>
      </c>
      <c r="C541" s="100" t="s">
        <v>2483</v>
      </c>
      <c r="D541" s="102" t="s">
        <v>944</v>
      </c>
      <c r="E541" s="100" t="str">
        <f t="shared" si="590"/>
        <v>Sama</v>
      </c>
      <c r="F541" s="63">
        <f t="shared" si="607"/>
        <v>503</v>
      </c>
      <c r="G541" s="63">
        <v>6</v>
      </c>
      <c r="H541" s="64" t="s">
        <v>71</v>
      </c>
      <c r="I541" s="448" t="s">
        <v>944</v>
      </c>
      <c r="J541" s="66"/>
      <c r="K541" s="533" t="s">
        <v>661</v>
      </c>
      <c r="L541" s="68">
        <f t="shared" si="592"/>
        <v>0</v>
      </c>
      <c r="M541" s="63"/>
      <c r="N541" s="392" t="e">
        <f t="shared" si="593"/>
        <v>#VALUE!</v>
      </c>
      <c r="O541" s="382"/>
      <c r="P541" s="68"/>
      <c r="Q541" s="68"/>
      <c r="R541" s="68"/>
      <c r="S541" s="68">
        <f t="shared" si="594"/>
        <v>0</v>
      </c>
      <c r="T541" s="63"/>
      <c r="U541" s="347"/>
      <c r="V541" s="370"/>
      <c r="W541" s="370"/>
      <c r="X541" s="370"/>
      <c r="Y541" s="68">
        <f t="shared" si="595"/>
        <v>0</v>
      </c>
      <c r="Z541" s="345"/>
      <c r="AA541" s="347"/>
      <c r="AB541" s="345"/>
      <c r="AC541" s="345"/>
      <c r="AD541" s="345"/>
      <c r="AE541" s="68">
        <f t="shared" si="596"/>
        <v>0</v>
      </c>
      <c r="AF541" s="366" t="s">
        <v>1097</v>
      </c>
      <c r="AG541" s="358"/>
      <c r="AH541" s="359"/>
      <c r="AI541" s="360"/>
      <c r="AJ541" s="360"/>
      <c r="AK541" s="360" t="str">
        <f t="shared" si="597"/>
        <v/>
      </c>
      <c r="AL541" s="18"/>
      <c r="AM541" s="360" t="e">
        <f t="shared" si="598"/>
        <v>#VALUE!</v>
      </c>
      <c r="AN541" s="360" t="str">
        <f t="shared" si="599"/>
        <v>2</v>
      </c>
      <c r="AO541" s="360"/>
      <c r="AP541" s="346" t="str">
        <f t="shared" si="600"/>
        <v>2</v>
      </c>
      <c r="AQ541" s="360" t="e">
        <f t="shared" si="542"/>
        <v>#VALUE!</v>
      </c>
      <c r="AR541" s="530"/>
      <c r="AS541" s="360"/>
      <c r="AT541" s="362"/>
      <c r="AU541" s="362"/>
      <c r="AV541" s="362"/>
      <c r="AW541" s="362"/>
      <c r="AX541" s="362"/>
      <c r="AY541" s="362"/>
      <c r="AZ541" s="362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</row>
    <row r="542" spans="1:68" ht="20.25" customHeight="1">
      <c r="A542" s="100">
        <v>92</v>
      </c>
      <c r="B542" s="100" t="s">
        <v>2479</v>
      </c>
      <c r="C542" s="100" t="s">
        <v>2484</v>
      </c>
      <c r="D542" s="102" t="s">
        <v>945</v>
      </c>
      <c r="E542" s="100" t="str">
        <f t="shared" si="590"/>
        <v>Sama</v>
      </c>
      <c r="F542" s="63">
        <f t="shared" si="607"/>
        <v>504</v>
      </c>
      <c r="G542" s="63">
        <v>17</v>
      </c>
      <c r="H542" s="64" t="s">
        <v>71</v>
      </c>
      <c r="I542" s="448" t="s">
        <v>945</v>
      </c>
      <c r="J542" s="66">
        <v>157.983717346346</v>
      </c>
      <c r="K542" s="533" t="s">
        <v>661</v>
      </c>
      <c r="L542" s="68">
        <f t="shared" si="592"/>
        <v>0</v>
      </c>
      <c r="M542" s="63"/>
      <c r="N542" s="392" t="e">
        <f t="shared" si="593"/>
        <v>#VALUE!</v>
      </c>
      <c r="O542" s="382"/>
      <c r="P542" s="68"/>
      <c r="Q542" s="68"/>
      <c r="R542" s="68"/>
      <c r="S542" s="68">
        <f t="shared" si="594"/>
        <v>0</v>
      </c>
      <c r="T542" s="63"/>
      <c r="U542" s="347"/>
      <c r="V542" s="370"/>
      <c r="W542" s="370"/>
      <c r="X542" s="370"/>
      <c r="Y542" s="68">
        <f t="shared" si="595"/>
        <v>0</v>
      </c>
      <c r="Z542" s="345"/>
      <c r="AA542" s="347"/>
      <c r="AB542" s="345"/>
      <c r="AC542" s="345"/>
      <c r="AD542" s="345"/>
      <c r="AE542" s="68">
        <f t="shared" si="596"/>
        <v>0</v>
      </c>
      <c r="AF542" s="366" t="s">
        <v>1097</v>
      </c>
      <c r="AG542" s="358"/>
      <c r="AH542" s="359"/>
      <c r="AI542" s="360"/>
      <c r="AJ542" s="360" t="s">
        <v>1868</v>
      </c>
      <c r="AK542" s="360" t="str">
        <f t="shared" si="597"/>
        <v/>
      </c>
      <c r="AL542" s="18"/>
      <c r="AM542" s="360" t="e">
        <f t="shared" si="598"/>
        <v>#VALUE!</v>
      </c>
      <c r="AN542" s="360" t="str">
        <f t="shared" si="599"/>
        <v>2</v>
      </c>
      <c r="AO542" s="360"/>
      <c r="AP542" s="346" t="str">
        <f t="shared" si="600"/>
        <v>2</v>
      </c>
      <c r="AQ542" s="360" t="e">
        <f t="shared" si="542"/>
        <v>#VALUE!</v>
      </c>
      <c r="AR542" s="530"/>
      <c r="AS542" s="360"/>
      <c r="AT542" s="362"/>
      <c r="AU542" s="362"/>
      <c r="AV542" s="362"/>
      <c r="AW542" s="362"/>
      <c r="AX542" s="362"/>
      <c r="AY542" s="362"/>
      <c r="AZ542" s="362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</row>
    <row r="543" spans="1:68" ht="20.25" customHeight="1">
      <c r="A543" s="100">
        <v>92</v>
      </c>
      <c r="B543" s="100" t="s">
        <v>2479</v>
      </c>
      <c r="C543" s="100" t="s">
        <v>2485</v>
      </c>
      <c r="D543" s="102" t="s">
        <v>946</v>
      </c>
      <c r="E543" s="100" t="str">
        <f t="shared" si="590"/>
        <v>Sama</v>
      </c>
      <c r="F543" s="63">
        <f t="shared" si="607"/>
        <v>505</v>
      </c>
      <c r="G543" s="63">
        <v>18</v>
      </c>
      <c r="H543" s="64" t="s">
        <v>71</v>
      </c>
      <c r="I543" s="448" t="s">
        <v>946</v>
      </c>
      <c r="J543" s="66">
        <v>2404.8065652161958</v>
      </c>
      <c r="K543" s="533" t="s">
        <v>104</v>
      </c>
      <c r="L543" s="68">
        <f t="shared" si="592"/>
        <v>34500</v>
      </c>
      <c r="M543" s="63"/>
      <c r="N543" s="392">
        <f t="shared" si="593"/>
        <v>2018</v>
      </c>
      <c r="O543" s="382" t="s">
        <v>151</v>
      </c>
      <c r="P543" s="68">
        <v>34500</v>
      </c>
      <c r="Q543" s="68">
        <v>0</v>
      </c>
      <c r="R543" s="68">
        <v>0</v>
      </c>
      <c r="S543" s="68">
        <f t="shared" si="594"/>
        <v>34500</v>
      </c>
      <c r="T543" s="63"/>
      <c r="U543" s="347"/>
      <c r="V543" s="370"/>
      <c r="W543" s="370"/>
      <c r="X543" s="370"/>
      <c r="Y543" s="68">
        <f t="shared" si="595"/>
        <v>0</v>
      </c>
      <c r="Z543" s="345"/>
      <c r="AA543" s="347"/>
      <c r="AB543" s="345"/>
      <c r="AC543" s="345"/>
      <c r="AD543" s="345"/>
      <c r="AE543" s="68">
        <f t="shared" si="596"/>
        <v>0</v>
      </c>
      <c r="AF543" s="366" t="s">
        <v>1097</v>
      </c>
      <c r="AG543" s="358"/>
      <c r="AH543" s="359"/>
      <c r="AI543" s="360"/>
      <c r="AJ543" s="360"/>
      <c r="AK543" s="360" t="str">
        <f t="shared" si="597"/>
        <v/>
      </c>
      <c r="AL543" s="18"/>
      <c r="AM543" s="360" t="str">
        <f t="shared" si="598"/>
        <v>2</v>
      </c>
      <c r="AN543" s="360" t="str">
        <f t="shared" si="599"/>
        <v>1</v>
      </c>
      <c r="AO543" s="360"/>
      <c r="AP543" s="346" t="str">
        <f t="shared" si="600"/>
        <v>2</v>
      </c>
      <c r="AQ543" s="360" t="str">
        <f t="shared" si="542"/>
        <v>2.1..2</v>
      </c>
      <c r="AR543" s="530"/>
      <c r="AS543" s="360"/>
      <c r="AT543" s="362"/>
      <c r="AU543" s="362"/>
      <c r="AV543" s="362"/>
      <c r="AW543" s="362"/>
      <c r="AX543" s="362"/>
      <c r="AY543" s="362"/>
      <c r="AZ543" s="362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</row>
    <row r="544" spans="1:68" ht="20.25" customHeight="1">
      <c r="A544" s="100">
        <v>92</v>
      </c>
      <c r="B544" s="100" t="s">
        <v>2479</v>
      </c>
      <c r="C544" s="100" t="s">
        <v>2486</v>
      </c>
      <c r="D544" s="102" t="s">
        <v>947</v>
      </c>
      <c r="E544" s="100" t="str">
        <f t="shared" si="590"/>
        <v>Sama</v>
      </c>
      <c r="F544" s="63">
        <f t="shared" si="607"/>
        <v>506</v>
      </c>
      <c r="G544" s="63">
        <v>20</v>
      </c>
      <c r="H544" s="64" t="s">
        <v>71</v>
      </c>
      <c r="I544" s="448" t="s">
        <v>947</v>
      </c>
      <c r="J544" s="66"/>
      <c r="K544" s="533" t="s">
        <v>661</v>
      </c>
      <c r="L544" s="68">
        <f t="shared" si="592"/>
        <v>0</v>
      </c>
      <c r="M544" s="63"/>
      <c r="N544" s="392" t="e">
        <f t="shared" si="593"/>
        <v>#VALUE!</v>
      </c>
      <c r="O544" s="382"/>
      <c r="P544" s="68"/>
      <c r="Q544" s="68"/>
      <c r="R544" s="68"/>
      <c r="S544" s="68">
        <f t="shared" si="594"/>
        <v>0</v>
      </c>
      <c r="T544" s="63"/>
      <c r="U544" s="347"/>
      <c r="V544" s="370"/>
      <c r="W544" s="370"/>
      <c r="X544" s="370"/>
      <c r="Y544" s="68">
        <f t="shared" si="595"/>
        <v>0</v>
      </c>
      <c r="Z544" s="345"/>
      <c r="AA544" s="347"/>
      <c r="AB544" s="345"/>
      <c r="AC544" s="345"/>
      <c r="AD544" s="345"/>
      <c r="AE544" s="68">
        <f t="shared" si="596"/>
        <v>0</v>
      </c>
      <c r="AF544" s="366" t="s">
        <v>1097</v>
      </c>
      <c r="AG544" s="358"/>
      <c r="AH544" s="359"/>
      <c r="AI544" s="360"/>
      <c r="AJ544" s="360"/>
      <c r="AK544" s="360" t="str">
        <f t="shared" si="597"/>
        <v/>
      </c>
      <c r="AL544" s="18"/>
      <c r="AM544" s="360" t="e">
        <f t="shared" si="598"/>
        <v>#VALUE!</v>
      </c>
      <c r="AN544" s="360" t="str">
        <f t="shared" si="599"/>
        <v>2</v>
      </c>
      <c r="AO544" s="360"/>
      <c r="AP544" s="346" t="str">
        <f t="shared" si="600"/>
        <v>2</v>
      </c>
      <c r="AQ544" s="360" t="e">
        <f t="shared" si="542"/>
        <v>#VALUE!</v>
      </c>
      <c r="AR544" s="530"/>
      <c r="AS544" s="360"/>
      <c r="AT544" s="362"/>
      <c r="AU544" s="362"/>
      <c r="AV544" s="362"/>
      <c r="AW544" s="362"/>
      <c r="AX544" s="362"/>
      <c r="AY544" s="362"/>
      <c r="AZ544" s="362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</row>
    <row r="545" spans="1:68" ht="20.25" customHeight="1">
      <c r="A545" s="100">
        <v>92</v>
      </c>
      <c r="B545" s="100" t="s">
        <v>2479</v>
      </c>
      <c r="C545" s="100" t="s">
        <v>2487</v>
      </c>
      <c r="D545" s="102" t="s">
        <v>948</v>
      </c>
      <c r="E545" s="100" t="str">
        <f t="shared" si="590"/>
        <v>Sama</v>
      </c>
      <c r="F545" s="63">
        <f t="shared" si="607"/>
        <v>507</v>
      </c>
      <c r="G545" s="63">
        <v>22</v>
      </c>
      <c r="H545" s="64" t="s">
        <v>71</v>
      </c>
      <c r="I545" s="448" t="s">
        <v>948</v>
      </c>
      <c r="J545" s="66"/>
      <c r="K545" s="533" t="s">
        <v>661</v>
      </c>
      <c r="L545" s="68">
        <f t="shared" si="592"/>
        <v>0</v>
      </c>
      <c r="M545" s="63"/>
      <c r="N545" s="392" t="e">
        <f t="shared" si="593"/>
        <v>#VALUE!</v>
      </c>
      <c r="O545" s="382"/>
      <c r="P545" s="68"/>
      <c r="Q545" s="68"/>
      <c r="R545" s="68"/>
      <c r="S545" s="68">
        <f t="shared" si="594"/>
        <v>0</v>
      </c>
      <c r="T545" s="63"/>
      <c r="U545" s="347"/>
      <c r="V545" s="370"/>
      <c r="W545" s="370"/>
      <c r="X545" s="370"/>
      <c r="Y545" s="68">
        <f t="shared" si="595"/>
        <v>0</v>
      </c>
      <c r="Z545" s="345"/>
      <c r="AA545" s="347"/>
      <c r="AB545" s="345"/>
      <c r="AC545" s="345"/>
      <c r="AD545" s="345"/>
      <c r="AE545" s="68">
        <f t="shared" si="596"/>
        <v>0</v>
      </c>
      <c r="AF545" s="366" t="s">
        <v>1097</v>
      </c>
      <c r="AG545" s="358"/>
      <c r="AH545" s="359"/>
      <c r="AI545" s="360"/>
      <c r="AJ545" s="360"/>
      <c r="AK545" s="360" t="str">
        <f t="shared" si="597"/>
        <v/>
      </c>
      <c r="AL545" s="18"/>
      <c r="AM545" s="360" t="e">
        <f t="shared" si="598"/>
        <v>#VALUE!</v>
      </c>
      <c r="AN545" s="360" t="str">
        <f t="shared" si="599"/>
        <v>2</v>
      </c>
      <c r="AO545" s="360"/>
      <c r="AP545" s="346" t="str">
        <f t="shared" si="600"/>
        <v>2</v>
      </c>
      <c r="AQ545" s="360" t="e">
        <f t="shared" si="542"/>
        <v>#VALUE!</v>
      </c>
      <c r="AR545" s="530"/>
      <c r="AS545" s="360"/>
      <c r="AT545" s="362"/>
      <c r="AU545" s="362"/>
      <c r="AV545" s="362"/>
      <c r="AW545" s="362"/>
      <c r="AX545" s="362"/>
      <c r="AY545" s="362"/>
      <c r="AZ545" s="362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</row>
    <row r="546" spans="1:68" ht="20.25" customHeight="1">
      <c r="A546" s="100">
        <v>92</v>
      </c>
      <c r="B546" s="100" t="s">
        <v>2479</v>
      </c>
      <c r="C546" s="100" t="s">
        <v>2488</v>
      </c>
      <c r="D546" s="102" t="s">
        <v>949</v>
      </c>
      <c r="E546" s="100" t="str">
        <f t="shared" si="590"/>
        <v>Sama</v>
      </c>
      <c r="F546" s="63">
        <f t="shared" si="607"/>
        <v>508</v>
      </c>
      <c r="G546" s="63">
        <v>23</v>
      </c>
      <c r="H546" s="64" t="s">
        <v>71</v>
      </c>
      <c r="I546" s="448" t="s">
        <v>949</v>
      </c>
      <c r="J546" s="66"/>
      <c r="K546" s="533" t="s">
        <v>661</v>
      </c>
      <c r="L546" s="68">
        <f t="shared" si="592"/>
        <v>0</v>
      </c>
      <c r="M546" s="63"/>
      <c r="N546" s="392" t="e">
        <f t="shared" si="593"/>
        <v>#VALUE!</v>
      </c>
      <c r="O546" s="382"/>
      <c r="P546" s="68"/>
      <c r="Q546" s="68"/>
      <c r="R546" s="68"/>
      <c r="S546" s="68">
        <f t="shared" si="594"/>
        <v>0</v>
      </c>
      <c r="T546" s="63"/>
      <c r="U546" s="347"/>
      <c r="V546" s="370"/>
      <c r="W546" s="370"/>
      <c r="X546" s="370"/>
      <c r="Y546" s="68">
        <f t="shared" si="595"/>
        <v>0</v>
      </c>
      <c r="Z546" s="345"/>
      <c r="AA546" s="347"/>
      <c r="AB546" s="345"/>
      <c r="AC546" s="345"/>
      <c r="AD546" s="345"/>
      <c r="AE546" s="68">
        <f t="shared" si="596"/>
        <v>0</v>
      </c>
      <c r="AF546" s="366" t="s">
        <v>1097</v>
      </c>
      <c r="AG546" s="358"/>
      <c r="AH546" s="359"/>
      <c r="AI546" s="360"/>
      <c r="AJ546" s="360"/>
      <c r="AK546" s="360" t="str">
        <f t="shared" si="597"/>
        <v/>
      </c>
      <c r="AL546" s="18"/>
      <c r="AM546" s="360" t="e">
        <f t="shared" si="598"/>
        <v>#VALUE!</v>
      </c>
      <c r="AN546" s="360" t="str">
        <f t="shared" si="599"/>
        <v>2</v>
      </c>
      <c r="AO546" s="360"/>
      <c r="AP546" s="346" t="str">
        <f t="shared" si="600"/>
        <v>2</v>
      </c>
      <c r="AQ546" s="360" t="e">
        <f t="shared" si="542"/>
        <v>#VALUE!</v>
      </c>
      <c r="AR546" s="530"/>
      <c r="AS546" s="360"/>
      <c r="AT546" s="362"/>
      <c r="AU546" s="362"/>
      <c r="AV546" s="362"/>
      <c r="AW546" s="362"/>
      <c r="AX546" s="362"/>
      <c r="AY546" s="362"/>
      <c r="AZ546" s="362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</row>
    <row r="547" spans="1:68" ht="20.25" customHeight="1">
      <c r="A547" s="47"/>
      <c r="B547" s="47"/>
      <c r="C547" s="47"/>
      <c r="D547" s="102"/>
      <c r="E547" s="47"/>
      <c r="F547" s="47"/>
      <c r="G547" s="47"/>
      <c r="H547" s="47"/>
      <c r="I547" s="47"/>
      <c r="J547" s="97"/>
      <c r="K547" s="100"/>
      <c r="L547" s="47"/>
      <c r="M547" s="47"/>
      <c r="N547" s="100"/>
      <c r="O547" s="102"/>
      <c r="P547" s="99"/>
      <c r="Q547" s="99"/>
      <c r="R547" s="99"/>
      <c r="S547" s="99"/>
      <c r="T547" s="47"/>
      <c r="U547" s="102"/>
      <c r="V547" s="99"/>
      <c r="W547" s="99"/>
      <c r="X547" s="99"/>
      <c r="Y547" s="99"/>
      <c r="Z547" s="103"/>
      <c r="AA547" s="102"/>
      <c r="AB547" s="103"/>
      <c r="AC547" s="103"/>
      <c r="AD547" s="103"/>
      <c r="AE547" s="103"/>
      <c r="AF547" s="100"/>
      <c r="AG547" s="449"/>
      <c r="AH547" s="44"/>
      <c r="AI547" s="336"/>
      <c r="AJ547" s="336"/>
      <c r="AK547" s="336"/>
      <c r="AL547" s="18"/>
      <c r="AM547" s="336"/>
      <c r="AN547" s="336"/>
      <c r="AO547" s="336"/>
      <c r="AP547" s="106"/>
      <c r="AQ547" s="336"/>
      <c r="AR547" s="530"/>
      <c r="AS547" s="102"/>
      <c r="AT547" s="450"/>
      <c r="AU547" s="450"/>
      <c r="AV547" s="18"/>
      <c r="AW547" s="450"/>
      <c r="AX547" s="18"/>
      <c r="AY547" s="450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</row>
    <row r="548" spans="1:68" ht="20.25" customHeight="1">
      <c r="A548" s="47"/>
      <c r="B548" s="47"/>
      <c r="C548" s="47"/>
      <c r="D548" s="102"/>
      <c r="E548" s="47"/>
      <c r="F548" s="47"/>
      <c r="G548" s="47"/>
      <c r="H548" s="47"/>
      <c r="I548" s="47"/>
      <c r="J548" s="97"/>
      <c r="K548" s="100"/>
      <c r="L548" s="47"/>
      <c r="M548" s="47"/>
      <c r="N548" s="100"/>
      <c r="O548" s="102"/>
      <c r="P548" s="99"/>
      <c r="Q548" s="99"/>
      <c r="R548" s="99"/>
      <c r="S548" s="99"/>
      <c r="T548" s="47"/>
      <c r="U548" s="102"/>
      <c r="V548" s="99"/>
      <c r="W548" s="99"/>
      <c r="X548" s="99"/>
      <c r="Y548" s="99"/>
      <c r="Z548" s="103"/>
      <c r="AA548" s="102"/>
      <c r="AB548" s="103"/>
      <c r="AC548" s="103"/>
      <c r="AD548" s="103"/>
      <c r="AE548" s="103"/>
      <c r="AF548" s="100"/>
      <c r="AG548" s="449"/>
      <c r="AH548" s="44"/>
      <c r="AI548" s="336"/>
      <c r="AJ548" s="336"/>
      <c r="AK548" s="336"/>
      <c r="AL548" s="18"/>
      <c r="AM548" s="336"/>
      <c r="AN548" s="336"/>
      <c r="AO548" s="336"/>
      <c r="AP548" s="106"/>
      <c r="AQ548" s="336"/>
      <c r="AR548" s="530"/>
      <c r="AS548" s="102">
        <f>COUNTA(AS7:AS540)</f>
        <v>202</v>
      </c>
      <c r="AT548" s="450"/>
      <c r="AU548" s="450"/>
      <c r="AV548" s="18"/>
      <c r="AW548" s="450">
        <f>SUM(AW7:AW546)</f>
        <v>3704147.9003459997</v>
      </c>
      <c r="AX548" s="18"/>
      <c r="AY548" s="450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</row>
    <row r="549" spans="1:68" ht="20.25" customHeight="1">
      <c r="A549" s="47"/>
      <c r="B549" s="47"/>
      <c r="C549" s="47"/>
      <c r="D549" s="102"/>
      <c r="E549" s="47"/>
      <c r="F549" s="47"/>
      <c r="G549" s="47"/>
      <c r="H549" s="47"/>
      <c r="I549" s="47"/>
      <c r="J549" s="97"/>
      <c r="K549" s="100"/>
      <c r="L549" s="47"/>
      <c r="M549" s="47"/>
      <c r="N549" s="100"/>
      <c r="O549" s="102"/>
      <c r="P549" s="99"/>
      <c r="Q549" s="99"/>
      <c r="R549" s="99"/>
      <c r="S549" s="99"/>
      <c r="T549" s="47"/>
      <c r="U549" s="102"/>
      <c r="V549" s="99"/>
      <c r="W549" s="99"/>
      <c r="X549" s="99"/>
      <c r="Y549" s="99"/>
      <c r="Z549" s="103"/>
      <c r="AA549" s="102"/>
      <c r="AB549" s="103"/>
      <c r="AC549" s="103"/>
      <c r="AD549" s="103"/>
      <c r="AE549" s="103"/>
      <c r="AF549" s="100"/>
      <c r="AG549" s="449"/>
      <c r="AH549" s="44"/>
      <c r="AI549" s="336"/>
      <c r="AJ549" s="336"/>
      <c r="AK549" s="336"/>
      <c r="AL549" s="18"/>
      <c r="AM549" s="336"/>
      <c r="AN549" s="336"/>
      <c r="AO549" s="336"/>
      <c r="AP549" s="106"/>
      <c r="AQ549" s="336"/>
      <c r="AR549" s="530"/>
      <c r="AS549" s="102"/>
      <c r="AT549" s="450"/>
      <c r="AU549" s="450"/>
      <c r="AV549" s="18"/>
      <c r="AW549" s="450"/>
      <c r="AX549" s="18"/>
      <c r="AY549" s="450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</row>
    <row r="550" spans="1:68" ht="20.25" customHeight="1">
      <c r="A550" s="47"/>
      <c r="B550" s="47"/>
      <c r="C550" s="47"/>
      <c r="D550" s="102"/>
      <c r="E550" s="47"/>
      <c r="F550" s="47"/>
      <c r="G550" s="47"/>
      <c r="H550" s="47"/>
      <c r="I550" s="47"/>
      <c r="J550" s="97"/>
      <c r="K550" s="100"/>
      <c r="L550" s="47"/>
      <c r="M550" s="47"/>
      <c r="N550" s="100"/>
      <c r="O550" s="102"/>
      <c r="P550" s="99"/>
      <c r="Q550" s="99"/>
      <c r="R550" s="99"/>
      <c r="S550" s="99"/>
      <c r="T550" s="47"/>
      <c r="U550" s="102"/>
      <c r="V550" s="99"/>
      <c r="W550" s="99"/>
      <c r="X550" s="99"/>
      <c r="Y550" s="99"/>
      <c r="Z550" s="103"/>
      <c r="AA550" s="102"/>
      <c r="AB550" s="103"/>
      <c r="AC550" s="103"/>
      <c r="AD550" s="103"/>
      <c r="AE550" s="103"/>
      <c r="AF550" s="100"/>
      <c r="AG550" s="449"/>
      <c r="AH550" s="44"/>
      <c r="AI550" s="336"/>
      <c r="AJ550" s="336"/>
      <c r="AK550" s="336"/>
      <c r="AL550" s="18"/>
      <c r="AM550" s="336"/>
      <c r="AN550" s="336"/>
      <c r="AO550" s="336"/>
      <c r="AP550" s="106"/>
      <c r="AQ550" s="336"/>
      <c r="AR550" s="530"/>
      <c r="AS550" s="102"/>
      <c r="AT550" s="450"/>
      <c r="AU550" s="450"/>
      <c r="AV550" s="18"/>
      <c r="AW550" s="450"/>
      <c r="AX550" s="18"/>
      <c r="AY550" s="450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</row>
  </sheetData>
  <autoFilter ref="B5:BA546" xr:uid="{00000000-0009-0000-0000-000006000000}"/>
  <mergeCells count="46">
    <mergeCell ref="AY1:AY3"/>
    <mergeCell ref="AZ1:AZ3"/>
    <mergeCell ref="AO1:AO3"/>
    <mergeCell ref="AP1:AP3"/>
    <mergeCell ref="AQ1:AQ3"/>
    <mergeCell ref="AR1:AR3"/>
    <mergeCell ref="AS1:AS3"/>
    <mergeCell ref="AT1:AT3"/>
    <mergeCell ref="AU1:AU3"/>
    <mergeCell ref="K1:K3"/>
    <mergeCell ref="L1:L3"/>
    <mergeCell ref="AV1:AV3"/>
    <mergeCell ref="AW1:AW3"/>
    <mergeCell ref="AX1:AX3"/>
    <mergeCell ref="M2:M3"/>
    <mergeCell ref="N2:N3"/>
    <mergeCell ref="O2:O3"/>
    <mergeCell ref="P2:R2"/>
    <mergeCell ref="S2:S3"/>
    <mergeCell ref="T2:T3"/>
    <mergeCell ref="Y2:Y3"/>
    <mergeCell ref="Z2:Z3"/>
    <mergeCell ref="AH1:AH3"/>
    <mergeCell ref="AK1:AK3"/>
    <mergeCell ref="AM1:AM3"/>
    <mergeCell ref="F1:F3"/>
    <mergeCell ref="G1:G3"/>
    <mergeCell ref="H1:H3"/>
    <mergeCell ref="I1:I3"/>
    <mergeCell ref="J1:J3"/>
    <mergeCell ref="V425:X425"/>
    <mergeCell ref="V490:X490"/>
    <mergeCell ref="U2:U3"/>
    <mergeCell ref="V2:X2"/>
    <mergeCell ref="V31:X31"/>
    <mergeCell ref="V50:X50"/>
    <mergeCell ref="V116:X116"/>
    <mergeCell ref="V152:X152"/>
    <mergeCell ref="V343:X343"/>
    <mergeCell ref="AN1:AN3"/>
    <mergeCell ref="AE2:AE3"/>
    <mergeCell ref="AA2:AA3"/>
    <mergeCell ref="AB2:AD2"/>
    <mergeCell ref="M1:S1"/>
    <mergeCell ref="T1:Y1"/>
    <mergeCell ref="Z1:AE1"/>
  </mergeCells>
  <conditionalFormatting sqref="E1:E550">
    <cfRule type="expression" dxfId="0" priority="1">
      <formula>NOT(ISERROR(SEARCH(("Beda"),(E1))))</formula>
    </cfRule>
  </conditionalFormatting>
  <hyperlinks>
    <hyperlink ref="A4" r:id="rId1" xr:uid="{00000000-0004-0000-0600-000000000000}"/>
    <hyperlink ref="O7" r:id="rId2" xr:uid="{00000000-0004-0000-0600-000001000000}"/>
    <hyperlink ref="AA7" r:id="rId3" xr:uid="{00000000-0004-0000-0600-000002000000}"/>
    <hyperlink ref="O8" r:id="rId4" xr:uid="{00000000-0004-0000-0600-000003000000}"/>
    <hyperlink ref="AA8" r:id="rId5" xr:uid="{00000000-0004-0000-0600-000004000000}"/>
    <hyperlink ref="O9" r:id="rId6" xr:uid="{00000000-0004-0000-0600-000005000000}"/>
    <hyperlink ref="U9" r:id="rId7" xr:uid="{00000000-0004-0000-0600-000006000000}"/>
    <hyperlink ref="AA9" r:id="rId8" xr:uid="{00000000-0004-0000-0600-000007000000}"/>
    <hyperlink ref="O10" r:id="rId9" xr:uid="{00000000-0004-0000-0600-000008000000}"/>
    <hyperlink ref="U10" r:id="rId10" xr:uid="{00000000-0004-0000-0600-000009000000}"/>
    <hyperlink ref="O11" r:id="rId11" xr:uid="{00000000-0004-0000-0600-00000A000000}"/>
    <hyperlink ref="AA11" r:id="rId12" xr:uid="{00000000-0004-0000-0600-00000B000000}"/>
    <hyperlink ref="O12" r:id="rId13" xr:uid="{00000000-0004-0000-0600-00000C000000}"/>
    <hyperlink ref="U12" r:id="rId14" xr:uid="{00000000-0004-0000-0600-00000D000000}"/>
    <hyperlink ref="O13" r:id="rId15" xr:uid="{00000000-0004-0000-0600-00000E000000}"/>
    <hyperlink ref="AA13" r:id="rId16" xr:uid="{00000000-0004-0000-0600-00000F000000}"/>
    <hyperlink ref="O14" r:id="rId17" xr:uid="{00000000-0004-0000-0600-000010000000}"/>
    <hyperlink ref="O15" r:id="rId18" xr:uid="{00000000-0004-0000-0600-000011000000}"/>
    <hyperlink ref="O16" r:id="rId19" xr:uid="{00000000-0004-0000-0600-000012000000}"/>
    <hyperlink ref="AA16" r:id="rId20" xr:uid="{00000000-0004-0000-0600-000013000000}"/>
    <hyperlink ref="O17" r:id="rId21" xr:uid="{00000000-0004-0000-0600-000014000000}"/>
    <hyperlink ref="AA17" r:id="rId22" xr:uid="{00000000-0004-0000-0600-000015000000}"/>
    <hyperlink ref="O18" r:id="rId23" xr:uid="{00000000-0004-0000-0600-000016000000}"/>
    <hyperlink ref="O19" r:id="rId24" xr:uid="{00000000-0004-0000-0600-000017000000}"/>
    <hyperlink ref="AA19" r:id="rId25" xr:uid="{00000000-0004-0000-0600-000018000000}"/>
    <hyperlink ref="O20" r:id="rId26" xr:uid="{00000000-0004-0000-0600-000019000000}"/>
    <hyperlink ref="AA20" r:id="rId27" xr:uid="{00000000-0004-0000-0600-00001A000000}"/>
    <hyperlink ref="O21" r:id="rId28" xr:uid="{00000000-0004-0000-0600-00001B000000}"/>
    <hyperlink ref="O22" r:id="rId29" xr:uid="{00000000-0004-0000-0600-00001C000000}"/>
    <hyperlink ref="U22" r:id="rId30" xr:uid="{00000000-0004-0000-0600-00001D000000}"/>
    <hyperlink ref="O23" r:id="rId31" xr:uid="{00000000-0004-0000-0600-00001E000000}"/>
    <hyperlink ref="U23" r:id="rId32" xr:uid="{00000000-0004-0000-0600-00001F000000}"/>
    <hyperlink ref="O24" r:id="rId33" xr:uid="{00000000-0004-0000-0600-000020000000}"/>
    <hyperlink ref="O25" r:id="rId34" xr:uid="{00000000-0004-0000-0600-000021000000}"/>
    <hyperlink ref="O26" r:id="rId35" xr:uid="{00000000-0004-0000-0600-000022000000}"/>
    <hyperlink ref="O27" r:id="rId36" xr:uid="{00000000-0004-0000-0600-000023000000}"/>
    <hyperlink ref="AA27" r:id="rId37" xr:uid="{00000000-0004-0000-0600-000024000000}"/>
    <hyperlink ref="O28" r:id="rId38" xr:uid="{00000000-0004-0000-0600-000025000000}"/>
    <hyperlink ref="U28" r:id="rId39" xr:uid="{00000000-0004-0000-0600-000026000000}"/>
    <hyperlink ref="O29" r:id="rId40" xr:uid="{00000000-0004-0000-0600-000027000000}"/>
    <hyperlink ref="AA29" r:id="rId41" xr:uid="{00000000-0004-0000-0600-000028000000}"/>
    <hyperlink ref="O31" r:id="rId42" xr:uid="{00000000-0004-0000-0600-000029000000}"/>
    <hyperlink ref="O32" r:id="rId43" xr:uid="{00000000-0004-0000-0600-00002A000000}"/>
    <hyperlink ref="O33" r:id="rId44" xr:uid="{00000000-0004-0000-0600-00002B000000}"/>
    <hyperlink ref="O34" r:id="rId45" xr:uid="{00000000-0004-0000-0600-00002C000000}"/>
    <hyperlink ref="O35" r:id="rId46" xr:uid="{00000000-0004-0000-0600-00002D000000}"/>
    <hyperlink ref="O36" r:id="rId47" xr:uid="{00000000-0004-0000-0600-00002E000000}"/>
    <hyperlink ref="O37" r:id="rId48" xr:uid="{00000000-0004-0000-0600-00002F000000}"/>
    <hyperlink ref="O38" r:id="rId49" xr:uid="{00000000-0004-0000-0600-000030000000}"/>
    <hyperlink ref="O39" r:id="rId50" xr:uid="{00000000-0004-0000-0600-000031000000}"/>
    <hyperlink ref="O40" r:id="rId51" xr:uid="{00000000-0004-0000-0600-000032000000}"/>
    <hyperlink ref="O41" r:id="rId52" xr:uid="{00000000-0004-0000-0600-000033000000}"/>
    <hyperlink ref="O42" r:id="rId53" xr:uid="{00000000-0004-0000-0600-000034000000}"/>
    <hyperlink ref="O43" r:id="rId54" xr:uid="{00000000-0004-0000-0600-000035000000}"/>
    <hyperlink ref="O44" r:id="rId55" xr:uid="{00000000-0004-0000-0600-000036000000}"/>
    <hyperlink ref="O46" r:id="rId56" xr:uid="{00000000-0004-0000-0600-000037000000}"/>
    <hyperlink ref="O47" r:id="rId57" xr:uid="{00000000-0004-0000-0600-000038000000}"/>
    <hyperlink ref="O48" r:id="rId58" xr:uid="{00000000-0004-0000-0600-000039000000}"/>
    <hyperlink ref="O50" r:id="rId59" xr:uid="{00000000-0004-0000-0600-00003A000000}"/>
    <hyperlink ref="O55" r:id="rId60" xr:uid="{00000000-0004-0000-0600-00003B000000}"/>
    <hyperlink ref="O56" r:id="rId61" xr:uid="{00000000-0004-0000-0600-00003C000000}"/>
    <hyperlink ref="O57" r:id="rId62" xr:uid="{00000000-0004-0000-0600-00003D000000}"/>
    <hyperlink ref="O58" r:id="rId63" xr:uid="{00000000-0004-0000-0600-00003E000000}"/>
    <hyperlink ref="O63" r:id="rId64" xr:uid="{00000000-0004-0000-0600-00003F000000}"/>
    <hyperlink ref="O65" r:id="rId65" xr:uid="{00000000-0004-0000-0600-000040000000}"/>
    <hyperlink ref="O66" r:id="rId66" xr:uid="{00000000-0004-0000-0600-000041000000}"/>
    <hyperlink ref="O67" r:id="rId67" xr:uid="{00000000-0004-0000-0600-000042000000}"/>
    <hyperlink ref="O68" r:id="rId68" xr:uid="{00000000-0004-0000-0600-000043000000}"/>
    <hyperlink ref="O69" r:id="rId69" xr:uid="{00000000-0004-0000-0600-000044000000}"/>
    <hyperlink ref="O70" r:id="rId70" xr:uid="{00000000-0004-0000-0600-000045000000}"/>
    <hyperlink ref="U70" r:id="rId71" xr:uid="{00000000-0004-0000-0600-000046000000}"/>
    <hyperlink ref="O71" r:id="rId72" xr:uid="{00000000-0004-0000-0600-000047000000}"/>
    <hyperlink ref="O72" r:id="rId73" xr:uid="{00000000-0004-0000-0600-000048000000}"/>
    <hyperlink ref="U72" r:id="rId74" xr:uid="{00000000-0004-0000-0600-000049000000}"/>
    <hyperlink ref="O74" r:id="rId75" xr:uid="{00000000-0004-0000-0600-00004A000000}"/>
    <hyperlink ref="O75" r:id="rId76" xr:uid="{00000000-0004-0000-0600-00004B000000}"/>
    <hyperlink ref="O76" r:id="rId77" xr:uid="{00000000-0004-0000-0600-00004C000000}"/>
    <hyperlink ref="O80" r:id="rId78" xr:uid="{00000000-0004-0000-0600-00004D000000}"/>
    <hyperlink ref="O85" r:id="rId79" xr:uid="{00000000-0004-0000-0600-00004E000000}"/>
    <hyperlink ref="U86" r:id="rId80" xr:uid="{00000000-0004-0000-0600-00004F000000}"/>
    <hyperlink ref="O88" r:id="rId81" xr:uid="{00000000-0004-0000-0600-000050000000}"/>
    <hyperlink ref="O89" r:id="rId82" xr:uid="{00000000-0004-0000-0600-000051000000}"/>
    <hyperlink ref="O90" r:id="rId83" xr:uid="{00000000-0004-0000-0600-000052000000}"/>
    <hyperlink ref="O91" r:id="rId84" xr:uid="{00000000-0004-0000-0600-000053000000}"/>
    <hyperlink ref="O93" r:id="rId85" xr:uid="{00000000-0004-0000-0600-000054000000}"/>
    <hyperlink ref="U94" r:id="rId86" xr:uid="{00000000-0004-0000-0600-000055000000}"/>
    <hyperlink ref="O95" r:id="rId87" xr:uid="{00000000-0004-0000-0600-000056000000}"/>
    <hyperlink ref="U95" r:id="rId88" xr:uid="{00000000-0004-0000-0600-000057000000}"/>
    <hyperlink ref="O96" r:id="rId89" xr:uid="{00000000-0004-0000-0600-000058000000}"/>
    <hyperlink ref="U96" r:id="rId90" xr:uid="{00000000-0004-0000-0600-000059000000}"/>
    <hyperlink ref="O98" r:id="rId91" xr:uid="{00000000-0004-0000-0600-00005A000000}"/>
    <hyperlink ref="O99" r:id="rId92" xr:uid="{00000000-0004-0000-0600-00005B000000}"/>
    <hyperlink ref="O100" r:id="rId93" xr:uid="{00000000-0004-0000-0600-00005C000000}"/>
    <hyperlink ref="O101" r:id="rId94" xr:uid="{00000000-0004-0000-0600-00005D000000}"/>
    <hyperlink ref="AA140" r:id="rId95" xr:uid="{00000000-0004-0000-0600-00005E000000}"/>
    <hyperlink ref="AA160" r:id="rId96" xr:uid="{00000000-0004-0000-0600-00005F000000}"/>
    <hyperlink ref="AA161" r:id="rId97" xr:uid="{00000000-0004-0000-0600-000060000000}"/>
    <hyperlink ref="AA162" r:id="rId98" xr:uid="{00000000-0004-0000-0600-000061000000}"/>
    <hyperlink ref="AA164" r:id="rId99" xr:uid="{00000000-0004-0000-0600-000062000000}"/>
    <hyperlink ref="AA166" r:id="rId100" xr:uid="{00000000-0004-0000-0600-000063000000}"/>
    <hyperlink ref="AA168" r:id="rId101" xr:uid="{00000000-0004-0000-0600-000064000000}"/>
    <hyperlink ref="O180" r:id="rId102" xr:uid="{00000000-0004-0000-0600-000065000000}"/>
    <hyperlink ref="U180" r:id="rId103" xr:uid="{00000000-0004-0000-0600-000066000000}"/>
    <hyperlink ref="O181" r:id="rId104" xr:uid="{00000000-0004-0000-0600-000067000000}"/>
    <hyperlink ref="U181" r:id="rId105" xr:uid="{00000000-0004-0000-0600-000068000000}"/>
    <hyperlink ref="O182" r:id="rId106" xr:uid="{00000000-0004-0000-0600-000069000000}"/>
    <hyperlink ref="O183" r:id="rId107" xr:uid="{00000000-0004-0000-0600-00006A000000}"/>
    <hyperlink ref="O184" r:id="rId108" xr:uid="{00000000-0004-0000-0600-00006B000000}"/>
    <hyperlink ref="U184" r:id="rId109" xr:uid="{00000000-0004-0000-0600-00006C000000}"/>
    <hyperlink ref="O185" r:id="rId110" xr:uid="{00000000-0004-0000-0600-00006D000000}"/>
    <hyperlink ref="U185" r:id="rId111" xr:uid="{00000000-0004-0000-0600-00006E000000}"/>
    <hyperlink ref="O186" r:id="rId112" xr:uid="{00000000-0004-0000-0600-00006F000000}"/>
    <hyperlink ref="AA186" r:id="rId113" xr:uid="{00000000-0004-0000-0600-000070000000}"/>
    <hyperlink ref="M187" r:id="rId114" xr:uid="{00000000-0004-0000-0600-000071000000}"/>
    <hyperlink ref="O187" r:id="rId115" xr:uid="{00000000-0004-0000-0600-000072000000}"/>
    <hyperlink ref="U187" r:id="rId116" xr:uid="{00000000-0004-0000-0600-000073000000}"/>
    <hyperlink ref="O188" r:id="rId117" xr:uid="{00000000-0004-0000-0600-000074000000}"/>
    <hyperlink ref="AA188" r:id="rId118" xr:uid="{00000000-0004-0000-0600-000075000000}"/>
    <hyperlink ref="O189" r:id="rId119" xr:uid="{00000000-0004-0000-0600-000076000000}"/>
    <hyperlink ref="AA189" r:id="rId120" xr:uid="{00000000-0004-0000-0600-000077000000}"/>
    <hyperlink ref="O190" r:id="rId121" xr:uid="{00000000-0004-0000-0600-000078000000}"/>
    <hyperlink ref="O191" r:id="rId122" xr:uid="{00000000-0004-0000-0600-000079000000}"/>
    <hyperlink ref="O192" r:id="rId123" xr:uid="{00000000-0004-0000-0600-00007A000000}"/>
    <hyperlink ref="O193" r:id="rId124" xr:uid="{00000000-0004-0000-0600-00007B000000}"/>
    <hyperlink ref="AA206" r:id="rId125" xr:uid="{00000000-0004-0000-0600-00007C000000}"/>
    <hyperlink ref="AA208" r:id="rId126" xr:uid="{00000000-0004-0000-0600-00007D000000}"/>
    <hyperlink ref="AA209" r:id="rId127" xr:uid="{00000000-0004-0000-0600-00007E000000}"/>
    <hyperlink ref="AA214" r:id="rId128" xr:uid="{00000000-0004-0000-0600-00007F000000}"/>
    <hyperlink ref="AA215" r:id="rId129" xr:uid="{00000000-0004-0000-0600-000080000000}"/>
    <hyperlink ref="AA216" r:id="rId130" xr:uid="{00000000-0004-0000-0600-000081000000}"/>
    <hyperlink ref="U217" r:id="rId131" xr:uid="{00000000-0004-0000-0600-000082000000}"/>
    <hyperlink ref="AA219" r:id="rId132" xr:uid="{00000000-0004-0000-0600-000083000000}"/>
    <hyperlink ref="AA223" r:id="rId133" xr:uid="{00000000-0004-0000-0600-000084000000}"/>
    <hyperlink ref="AA226" r:id="rId134" xr:uid="{00000000-0004-0000-0600-000085000000}"/>
    <hyperlink ref="AA244" r:id="rId135" xr:uid="{00000000-0004-0000-0600-000086000000}"/>
    <hyperlink ref="AA245" r:id="rId136" xr:uid="{00000000-0004-0000-0600-000087000000}"/>
    <hyperlink ref="AA246" r:id="rId137" xr:uid="{00000000-0004-0000-0600-000088000000}"/>
    <hyperlink ref="O247" r:id="rId138" xr:uid="{00000000-0004-0000-0600-000089000000}"/>
    <hyperlink ref="U247" r:id="rId139" xr:uid="{00000000-0004-0000-0600-00008A000000}"/>
    <hyperlink ref="AA250" r:id="rId140" xr:uid="{00000000-0004-0000-0600-00008B000000}"/>
    <hyperlink ref="AA252" r:id="rId141" xr:uid="{00000000-0004-0000-0600-00008C000000}"/>
    <hyperlink ref="AA256" r:id="rId142" xr:uid="{00000000-0004-0000-0600-00008D000000}"/>
    <hyperlink ref="M257" r:id="rId143" xr:uid="{00000000-0004-0000-0600-00008E000000}"/>
    <hyperlink ref="O257" r:id="rId144" xr:uid="{00000000-0004-0000-0600-00008F000000}"/>
    <hyperlink ref="AA278" r:id="rId145" xr:uid="{00000000-0004-0000-0600-000090000000}"/>
    <hyperlink ref="AA281" r:id="rId146" xr:uid="{00000000-0004-0000-0600-000091000000}"/>
    <hyperlink ref="AA283" r:id="rId147" xr:uid="{00000000-0004-0000-0600-000092000000}"/>
    <hyperlink ref="AA284" r:id="rId148" xr:uid="{00000000-0004-0000-0600-000093000000}"/>
    <hyperlink ref="AA287" r:id="rId149" xr:uid="{00000000-0004-0000-0600-000094000000}"/>
    <hyperlink ref="AA289" r:id="rId150" xr:uid="{00000000-0004-0000-0600-000095000000}"/>
    <hyperlink ref="AA292" r:id="rId151" xr:uid="{00000000-0004-0000-0600-000096000000}"/>
    <hyperlink ref="AA296" r:id="rId152" xr:uid="{00000000-0004-0000-0600-000097000000}"/>
    <hyperlink ref="AA304" r:id="rId153" xr:uid="{00000000-0004-0000-0600-000098000000}"/>
    <hyperlink ref="AA305" r:id="rId154" xr:uid="{00000000-0004-0000-0600-000099000000}"/>
    <hyperlink ref="AA307" r:id="rId155" xr:uid="{00000000-0004-0000-0600-00009A000000}"/>
    <hyperlink ref="AA318" r:id="rId156" xr:uid="{00000000-0004-0000-0600-00009B000000}"/>
    <hyperlink ref="AA319" r:id="rId157" xr:uid="{00000000-0004-0000-0600-00009C000000}"/>
    <hyperlink ref="AA320" r:id="rId158" xr:uid="{00000000-0004-0000-0600-00009D000000}"/>
    <hyperlink ref="AA323" r:id="rId159" xr:uid="{00000000-0004-0000-0600-00009E000000}"/>
    <hyperlink ref="AA329" r:id="rId160" xr:uid="{00000000-0004-0000-0600-00009F000000}"/>
    <hyperlink ref="AA333" r:id="rId161" xr:uid="{00000000-0004-0000-0600-0000A0000000}"/>
    <hyperlink ref="AA335" r:id="rId162" xr:uid="{00000000-0004-0000-0600-0000A1000000}"/>
    <hyperlink ref="AA339" r:id="rId163" xr:uid="{00000000-0004-0000-0600-0000A2000000}"/>
    <hyperlink ref="AA343" r:id="rId164" xr:uid="{00000000-0004-0000-0600-0000A3000000}"/>
    <hyperlink ref="AA348" r:id="rId165" xr:uid="{00000000-0004-0000-0600-0000A4000000}"/>
    <hyperlink ref="AA354" r:id="rId166" xr:uid="{00000000-0004-0000-0600-0000A5000000}"/>
    <hyperlink ref="AA362" r:id="rId167" xr:uid="{00000000-0004-0000-0600-0000A6000000}"/>
    <hyperlink ref="O364" r:id="rId168" xr:uid="{00000000-0004-0000-0600-0000A7000000}"/>
    <hyperlink ref="AA366" r:id="rId169" xr:uid="{00000000-0004-0000-0600-0000A8000000}"/>
    <hyperlink ref="O367" r:id="rId170" xr:uid="{00000000-0004-0000-0600-0000A9000000}"/>
    <hyperlink ref="AA367" r:id="rId171" xr:uid="{00000000-0004-0000-0600-0000AA000000}"/>
    <hyperlink ref="U373" r:id="rId172" xr:uid="{00000000-0004-0000-0600-0000AB000000}"/>
    <hyperlink ref="AA373" r:id="rId173" xr:uid="{00000000-0004-0000-0600-0000AC000000}"/>
    <hyperlink ref="O388" r:id="rId174" xr:uid="{00000000-0004-0000-0600-0000AD000000}"/>
    <hyperlink ref="AA388" r:id="rId175" xr:uid="{00000000-0004-0000-0600-0000AE000000}"/>
    <hyperlink ref="O392" r:id="rId176" xr:uid="{00000000-0004-0000-0600-0000AF000000}"/>
    <hyperlink ref="U395" r:id="rId177" xr:uid="{00000000-0004-0000-0600-0000B0000000}"/>
    <hyperlink ref="AA395" r:id="rId178" xr:uid="{00000000-0004-0000-0600-0000B1000000}"/>
    <hyperlink ref="AA406" r:id="rId179" xr:uid="{00000000-0004-0000-0600-0000B2000000}"/>
    <hyperlink ref="U425" r:id="rId180" xr:uid="{00000000-0004-0000-0600-0000B3000000}"/>
    <hyperlink ref="AA427" r:id="rId181" xr:uid="{00000000-0004-0000-0600-0000B4000000}"/>
    <hyperlink ref="O431" r:id="rId182" xr:uid="{00000000-0004-0000-0600-0000B5000000}"/>
    <hyperlink ref="AA431" r:id="rId183" xr:uid="{00000000-0004-0000-0600-0000B6000000}"/>
    <hyperlink ref="O432" r:id="rId184" xr:uid="{00000000-0004-0000-0600-0000B7000000}"/>
    <hyperlink ref="AA432" r:id="rId185" xr:uid="{00000000-0004-0000-0600-0000B8000000}"/>
    <hyperlink ref="M433" r:id="rId186" xr:uid="{00000000-0004-0000-0600-0000B9000000}"/>
    <hyperlink ref="O433" r:id="rId187" xr:uid="{00000000-0004-0000-0600-0000BA000000}"/>
    <hyperlink ref="O434" r:id="rId188" xr:uid="{00000000-0004-0000-0600-0000BB000000}"/>
    <hyperlink ref="O435" r:id="rId189" xr:uid="{00000000-0004-0000-0600-0000BC000000}"/>
    <hyperlink ref="O436" r:id="rId190" xr:uid="{00000000-0004-0000-0600-0000BD000000}"/>
    <hyperlink ref="U436" r:id="rId191" xr:uid="{00000000-0004-0000-0600-0000BE000000}"/>
    <hyperlink ref="AA436" r:id="rId192" xr:uid="{00000000-0004-0000-0600-0000BF000000}"/>
    <hyperlink ref="M437" r:id="rId193" xr:uid="{00000000-0004-0000-0600-0000C0000000}"/>
    <hyperlink ref="O437" r:id="rId194" xr:uid="{00000000-0004-0000-0600-0000C1000000}"/>
    <hyperlink ref="U437" r:id="rId195" xr:uid="{00000000-0004-0000-0600-0000C2000000}"/>
    <hyperlink ref="O438" r:id="rId196" xr:uid="{00000000-0004-0000-0600-0000C3000000}"/>
    <hyperlink ref="M440" r:id="rId197" xr:uid="{00000000-0004-0000-0600-0000C4000000}"/>
    <hyperlink ref="O440" r:id="rId198" xr:uid="{00000000-0004-0000-0600-0000C5000000}"/>
    <hyperlink ref="T440" r:id="rId199" xr:uid="{00000000-0004-0000-0600-0000C6000000}"/>
    <hyperlink ref="AA443" r:id="rId200" xr:uid="{00000000-0004-0000-0600-0000C7000000}"/>
    <hyperlink ref="AA447" r:id="rId201" xr:uid="{00000000-0004-0000-0600-0000C8000000}"/>
    <hyperlink ref="AA448" r:id="rId202" xr:uid="{00000000-0004-0000-0600-0000C9000000}"/>
    <hyperlink ref="AA451" r:id="rId203" xr:uid="{00000000-0004-0000-0600-0000CA000000}"/>
    <hyperlink ref="AA454" r:id="rId204" xr:uid="{00000000-0004-0000-0600-0000CB000000}"/>
    <hyperlink ref="U457" r:id="rId205" xr:uid="{00000000-0004-0000-0600-0000CC000000}"/>
    <hyperlink ref="AA458" r:id="rId206" xr:uid="{00000000-0004-0000-0600-0000CD000000}"/>
    <hyperlink ref="U459" r:id="rId207" xr:uid="{00000000-0004-0000-0600-0000CE000000}"/>
    <hyperlink ref="AA460" r:id="rId208" xr:uid="{00000000-0004-0000-0600-0000CF000000}"/>
    <hyperlink ref="O478" r:id="rId209" xr:uid="{00000000-0004-0000-0600-0000D0000000}"/>
    <hyperlink ref="AA497" r:id="rId210" xr:uid="{00000000-0004-0000-0600-0000D1000000}"/>
    <hyperlink ref="U501" r:id="rId211" xr:uid="{00000000-0004-0000-0600-0000D2000000}"/>
    <hyperlink ref="U538" r:id="rId212" xr:uid="{00000000-0004-0000-0600-0000D3000000}"/>
  </hyperlinks>
  <pageMargins left="0.70866141732283472" right="0.70866141732283472" top="0.74803149606299213" bottom="0.74803149606299213" header="0" footer="0"/>
  <pageSetup paperSize="9" orientation="portrait"/>
  <legacyDrawing r:id="rId2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1000"/>
  <sheetViews>
    <sheetView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7" customWidth="1"/>
    <col min="2" max="2" width="22.42578125" customWidth="1"/>
    <col min="3" max="5" width="14.42578125" customWidth="1"/>
    <col min="6" max="6" width="18" customWidth="1"/>
    <col min="9" max="9" width="16.28515625" customWidth="1"/>
    <col min="13" max="13" width="16" customWidth="1"/>
  </cols>
  <sheetData>
    <row r="1" spans="1:26" ht="24.75" customHeight="1">
      <c r="A1" s="652" t="s">
        <v>2489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</row>
    <row r="2" spans="1:26">
      <c r="A2" s="653" t="s">
        <v>0</v>
      </c>
      <c r="B2" s="653" t="s">
        <v>2490</v>
      </c>
      <c r="C2" s="654" t="s">
        <v>26</v>
      </c>
      <c r="D2" s="655" t="s">
        <v>2491</v>
      </c>
      <c r="E2" s="650" t="s">
        <v>2492</v>
      </c>
      <c r="F2" s="564"/>
      <c r="G2" s="564"/>
      <c r="H2" s="564"/>
      <c r="I2" s="564"/>
      <c r="J2" s="564"/>
      <c r="K2" s="564"/>
      <c r="L2" s="564"/>
      <c r="M2" s="559"/>
      <c r="N2" s="656" t="s">
        <v>2493</v>
      </c>
      <c r="O2" s="1"/>
    </row>
    <row r="3" spans="1:26">
      <c r="A3" s="570"/>
      <c r="B3" s="570"/>
      <c r="C3" s="570"/>
      <c r="D3" s="570"/>
      <c r="E3" s="657" t="s">
        <v>2494</v>
      </c>
      <c r="F3" s="564"/>
      <c r="G3" s="559"/>
      <c r="H3" s="658" t="s">
        <v>2495</v>
      </c>
      <c r="I3" s="564"/>
      <c r="J3" s="559"/>
      <c r="K3" s="649" t="s">
        <v>2496</v>
      </c>
      <c r="L3" s="650" t="s">
        <v>2497</v>
      </c>
      <c r="M3" s="559"/>
      <c r="N3" s="570"/>
      <c r="O3" s="1"/>
    </row>
    <row r="4" spans="1:26" ht="29.25" customHeight="1">
      <c r="A4" s="561"/>
      <c r="B4" s="561"/>
      <c r="C4" s="561"/>
      <c r="D4" s="561"/>
      <c r="E4" s="451" t="s">
        <v>2498</v>
      </c>
      <c r="F4" s="452" t="s">
        <v>2499</v>
      </c>
      <c r="G4" s="452" t="s">
        <v>2500</v>
      </c>
      <c r="H4" s="453" t="s">
        <v>2498</v>
      </c>
      <c r="I4" s="454" t="s">
        <v>2499</v>
      </c>
      <c r="J4" s="454" t="s">
        <v>2501</v>
      </c>
      <c r="K4" s="561"/>
      <c r="L4" s="455" t="s">
        <v>2498</v>
      </c>
      <c r="M4" s="456" t="s">
        <v>2499</v>
      </c>
      <c r="N4" s="561"/>
      <c r="O4" s="1"/>
    </row>
    <row r="5" spans="1:26">
      <c r="A5" s="457">
        <v>1</v>
      </c>
      <c r="B5" s="458" t="s">
        <v>2502</v>
      </c>
      <c r="C5" s="459">
        <v>23</v>
      </c>
      <c r="D5" s="460">
        <f>SUMIF('BU of PERDA RTRW LP2B DAN PERKA'!$H$3:$H$546,"Aceh",'BU of PERDA RTRW LP2B DAN PERKA'!$J$3:$J$546)</f>
        <v>213998.36149629761</v>
      </c>
      <c r="E5" s="457" t="e">
        <f t="shared" ref="E5:E15" si="0">#REF!</f>
        <v>#REF!</v>
      </c>
      <c r="F5" s="461">
        <f>SUMIF(Kabupaten!I7:I29,"DS",Kabupaten!E7:E29)+SUMIF(Kabupaten!I7:I29,"D",Kabupaten!E7:E29)</f>
        <v>213939.98431360701</v>
      </c>
      <c r="G5" s="457" t="e">
        <f t="shared" ref="G5:H5" si="1">#REF!</f>
        <v>#REF!</v>
      </c>
      <c r="H5" s="457" t="e">
        <f t="shared" si="1"/>
        <v>#REF!</v>
      </c>
      <c r="I5" s="461">
        <f>SUMIFS(Kabupaten!$E$7:$E$520,Kabupaten!$C$7:$C$520,"Aceh",Kabupaten!$I$7:$I$520,"DS")</f>
        <v>204133.25430435527</v>
      </c>
      <c r="J5" s="461">
        <f t="shared" ref="J5:J38" si="2">I5-K5</f>
        <v>-14654.965695644729</v>
      </c>
      <c r="K5" s="461">
        <f>SUMIFS(Kabupaten!J7:J520,Kabupaten!$C$7:$C$520,"Aceh",Kabupaten!$I$7:$I$520,"DS")</f>
        <v>218788.22</v>
      </c>
      <c r="L5" s="457" t="e">
        <f t="shared" ref="L5:L38" si="3">E5-H5</f>
        <v>#REF!</v>
      </c>
      <c r="M5" s="461">
        <f>SUMIFS(Kabupaten!$E$7:$E$520,Kabupaten!$C$7:$C$520,"Aceh",Kabupaten!$I$7:$I$520,"D")</f>
        <v>9806.7300092517507</v>
      </c>
      <c r="N5" s="461"/>
      <c r="O5" s="1"/>
    </row>
    <row r="6" spans="1:26">
      <c r="A6" s="457">
        <v>2</v>
      </c>
      <c r="B6" s="458" t="s">
        <v>2503</v>
      </c>
      <c r="C6" s="459">
        <v>33</v>
      </c>
      <c r="D6" s="460">
        <f>SUMIF('BU of PERDA RTRW LP2B DAN PERKA'!$H$3:$H$542,"Sumatera Utara",'BU of PERDA RTRW LP2B DAN PERKA'!$J$3:$J$546)</f>
        <v>308668.34663552331</v>
      </c>
      <c r="E6" s="457" t="e">
        <f t="shared" si="0"/>
        <v>#REF!</v>
      </c>
      <c r="F6" s="461">
        <f>SUMIF(Kabupaten!I30:I62,"D",Kabupaten!E30:E62)+SUMIF(Kabupaten!I30:I62,"DS",Kabupaten!E30:E62)</f>
        <v>214249.64238612092</v>
      </c>
      <c r="G6" s="457" t="e">
        <f t="shared" ref="G6:H6" si="4">#REF!</f>
        <v>#REF!</v>
      </c>
      <c r="H6" s="457" t="e">
        <f t="shared" si="4"/>
        <v>#REF!</v>
      </c>
      <c r="I6" s="461">
        <f>SUMIFS(Kabupaten!$E$7:$E$520,Kabupaten!$C$7:$C$520,"Sumatera Utara",Kabupaten!$I$7:$I$520,"DS")</f>
        <v>165375.11930084749</v>
      </c>
      <c r="J6" s="461">
        <f t="shared" si="2"/>
        <v>-7764.8306991524878</v>
      </c>
      <c r="K6" s="461">
        <f>SUMIFS(Kabupaten!J7:J520,Kabupaten!$C$7:$C$520,"Sumatera Utara",Kabupaten!$I$7:$I$520,"DS")</f>
        <v>173139.94999999998</v>
      </c>
      <c r="L6" s="457" t="e">
        <f t="shared" si="3"/>
        <v>#REF!</v>
      </c>
      <c r="M6" s="461">
        <f>SUMIFS(Kabupaten!$E$7:$E$520,Kabupaten!$C$7:$C$520,"Sumatera Utara",Kabupaten!$I$7:$I$520,"D")</f>
        <v>48874.523085273431</v>
      </c>
      <c r="N6" s="461"/>
      <c r="O6" s="1"/>
    </row>
    <row r="7" spans="1:26">
      <c r="A7" s="457">
        <v>3</v>
      </c>
      <c r="B7" s="458" t="s">
        <v>2504</v>
      </c>
      <c r="C7" s="459">
        <v>19</v>
      </c>
      <c r="D7" s="460">
        <f>SUMIF('BU of PERDA RTRW LP2B DAN PERKA'!$H$3:$H$542,"Aceh",'BU of PERDA RTRW LP2B DAN PERKA'!$J$3:$J$546)</f>
        <v>213998.36149629761</v>
      </c>
      <c r="E7" s="457" t="e">
        <f t="shared" si="0"/>
        <v>#REF!</v>
      </c>
      <c r="F7" s="461">
        <f>SUMIF(Kabupaten!I63:I81,"D",Kabupaten!E63:E81)+SUMIF(Kabupaten!I63:I81,"DS",Kabupaten!E63:E81)</f>
        <v>191675.83543741264</v>
      </c>
      <c r="G7" s="457" t="e">
        <f t="shared" ref="G7:H7" si="5">#REF!</f>
        <v>#REF!</v>
      </c>
      <c r="H7" s="457" t="e">
        <f t="shared" si="5"/>
        <v>#REF!</v>
      </c>
      <c r="I7" s="461">
        <f>SUMIFS(Kabupaten!$E$7:$E$520,Kabupaten!$C$7:$C$520,"Sumatera Barat",Kabupaten!$I$7:$I$520,"DS")</f>
        <v>132255.99299228485</v>
      </c>
      <c r="J7" s="461">
        <f t="shared" si="2"/>
        <v>5517.3469922848453</v>
      </c>
      <c r="K7" s="461">
        <f>SUMIFS(Kabupaten!J7:J520,Kabupaten!$C$7:$C$520,"Sumatera Barat",Kabupaten!$I$7:$I$520,"DS")</f>
        <v>126738.64600000001</v>
      </c>
      <c r="L7" s="457" t="e">
        <f t="shared" si="3"/>
        <v>#REF!</v>
      </c>
      <c r="M7" s="461">
        <f>SUMIFS(Kabupaten!$E$7:$E$520,Kabupaten!$C$7:$C$520,"Sumatera Barat",Kabupaten!$I$7:$I$520,"D")</f>
        <v>59419.84244512779</v>
      </c>
      <c r="N7" s="461"/>
      <c r="O7" s="1"/>
    </row>
    <row r="8" spans="1:26">
      <c r="A8" s="457">
        <v>4</v>
      </c>
      <c r="B8" s="458" t="s">
        <v>2505</v>
      </c>
      <c r="C8" s="459">
        <v>12</v>
      </c>
      <c r="D8" s="460">
        <f>SUMIF('BU of PERDA RTRW LP2B DAN PERKA'!$H$3:$H$542,"Aceh",'BU of PERDA RTRW LP2B DAN PERKA'!$J$3:$J$546)</f>
        <v>213998.36149629761</v>
      </c>
      <c r="E8" s="457" t="e">
        <f t="shared" si="0"/>
        <v>#REF!</v>
      </c>
      <c r="F8" s="461">
        <f>SUMIF(Kabupaten!I82:I93,"D",Kabupaten!E82:E93)+SUMIF(Kabupaten!I82:I93,"DS",Kabupaten!E82:E93)</f>
        <v>44287.873538551779</v>
      </c>
      <c r="G8" s="457" t="e">
        <f t="shared" ref="G8:H8" si="6">#REF!</f>
        <v>#REF!</v>
      </c>
      <c r="H8" s="457" t="e">
        <f t="shared" si="6"/>
        <v>#REF!</v>
      </c>
      <c r="I8" s="461">
        <f>SUMIFS(Kabupaten!$E$7:$E$520,Kabupaten!$C$7:$C$520,"Riau",Kabupaten!$I$7:$I$520,"DS")</f>
        <v>19607.611392781251</v>
      </c>
      <c r="J8" s="461">
        <f t="shared" si="2"/>
        <v>-4389.3886072187488</v>
      </c>
      <c r="K8" s="461">
        <f>SUMIFS(Kabupaten!J7:J520,Kabupaten!$C$7:$C$520,"Riau",Kabupaten!$I$7:$I$520,"DS")</f>
        <v>23997</v>
      </c>
      <c r="L8" s="457" t="e">
        <f t="shared" si="3"/>
        <v>#REF!</v>
      </c>
      <c r="M8" s="461">
        <f>SUMIFS(Kabupaten!$E$7:$E$520,Kabupaten!$C$7:$C$520,"Riau",Kabupaten!$I$7:$I$520,"D")</f>
        <v>24680.262145770525</v>
      </c>
      <c r="N8" s="461"/>
      <c r="O8" s="1"/>
    </row>
    <row r="9" spans="1:26">
      <c r="A9" s="457">
        <v>5</v>
      </c>
      <c r="B9" s="458" t="s">
        <v>2506</v>
      </c>
      <c r="C9" s="459">
        <v>11</v>
      </c>
      <c r="D9" s="460">
        <f>SUMIF('BU of PERDA RTRW LP2B DAN PERKA'!$H$3:$H$542,"Aceh",'BU of PERDA RTRW LP2B DAN PERKA'!$J$3:$J$546)</f>
        <v>213998.36149629761</v>
      </c>
      <c r="E9" s="457" t="e">
        <f t="shared" si="0"/>
        <v>#REF!</v>
      </c>
      <c r="F9" s="461">
        <f>SUMIF(Kabupaten!I101:I111,"D",Kabupaten!E101:E111)+SUMIF(Kabupaten!I101:I111,"DS",Kabupaten!E101:E111)</f>
        <v>68349.342412178463</v>
      </c>
      <c r="G9" s="457" t="e">
        <f t="shared" ref="G9:H9" si="7">#REF!</f>
        <v>#REF!</v>
      </c>
      <c r="H9" s="457" t="e">
        <f t="shared" si="7"/>
        <v>#REF!</v>
      </c>
      <c r="I9" s="461">
        <f>SUMIFS(Kabupaten!$E$7:$E$520,Kabupaten!$C$7:$C$520,"Jambi",Kabupaten!$I$7:$I$520,"DS")</f>
        <v>23497.121760621805</v>
      </c>
      <c r="J9" s="461">
        <f t="shared" si="2"/>
        <v>-2366.348239378196</v>
      </c>
      <c r="K9" s="461">
        <f>SUMIFS(Kabupaten!J7:J520,Kabupaten!$C$7:$C$520,"Jambi",Kabupaten!$I$7:$I$520,"DS")</f>
        <v>25863.47</v>
      </c>
      <c r="L9" s="457" t="e">
        <f t="shared" si="3"/>
        <v>#REF!</v>
      </c>
      <c r="M9" s="461">
        <f>SUMIFS(Kabupaten!$E$7:$E$520,Kabupaten!$C$7:$C$520,"Jambi",Kabupaten!$I$7:$I$520,"D")</f>
        <v>44852.220651556658</v>
      </c>
      <c r="N9" s="461"/>
      <c r="O9" s="1"/>
    </row>
    <row r="10" spans="1:26">
      <c r="A10" s="457">
        <v>6</v>
      </c>
      <c r="B10" s="458" t="s">
        <v>2507</v>
      </c>
      <c r="C10" s="459">
        <v>17</v>
      </c>
      <c r="D10" s="460">
        <f>SUMIF('BU of PERDA RTRW LP2B DAN PERKA'!$H$3:$H$542,"Aceh",'BU of PERDA RTRW LP2B DAN PERKA'!$J$3:$J$546)</f>
        <v>213998.36149629761</v>
      </c>
      <c r="E10" s="457" t="e">
        <f t="shared" si="0"/>
        <v>#REF!</v>
      </c>
      <c r="F10" s="461">
        <f>SUMIF(Kabupaten!I122:I138,"D",Kabupaten!E122:E138)+SUMIF(Kabupaten!I122:I138,"DS",Kabupaten!E122:E138)</f>
        <v>448013.37327527854</v>
      </c>
      <c r="G10" s="457" t="e">
        <f t="shared" ref="G10:H10" si="8">#REF!</f>
        <v>#REF!</v>
      </c>
      <c r="H10" s="457" t="e">
        <f t="shared" si="8"/>
        <v>#REF!</v>
      </c>
      <c r="I10" s="461">
        <f>SUMIFS(Kabupaten!$E$7:$E$520,Kabupaten!$C$7:$C$520,"Sumatera Selatan",Kabupaten!$I$7:$I$520,"DS")</f>
        <v>444604.22021933208</v>
      </c>
      <c r="J10" s="461">
        <f t="shared" si="2"/>
        <v>-47598.119780667883</v>
      </c>
      <c r="K10" s="461">
        <f>SUMIFS(Kabupaten!J7:J520,Kabupaten!$C$7:$C$520,"Sumatera Selatan",Kabupaten!$I$7:$I$520,"DS")</f>
        <v>492202.33999999997</v>
      </c>
      <c r="L10" s="457" t="e">
        <f t="shared" si="3"/>
        <v>#REF!</v>
      </c>
      <c r="M10" s="461">
        <f>SUMIFS(Kabupaten!$E$7:$E$520,Kabupaten!$C$7:$C$520,"Sumatera Selatan",Kabupaten!$I$7:$I$520,"D")</f>
        <v>3409.1530559464659</v>
      </c>
      <c r="N10" s="461"/>
      <c r="O10" s="1"/>
    </row>
    <row r="11" spans="1:26">
      <c r="A11" s="457">
        <v>7</v>
      </c>
      <c r="B11" s="458" t="s">
        <v>2508</v>
      </c>
      <c r="C11" s="459">
        <v>10</v>
      </c>
      <c r="D11" s="460">
        <f>SUMIF('BU of PERDA RTRW LP2B DAN PERKA'!$H$3:$H$542,"Aceh",'BU of PERDA RTRW LP2B DAN PERKA'!$J$3:$J$546)</f>
        <v>213998.36149629761</v>
      </c>
      <c r="E11" s="457" t="e">
        <f t="shared" si="0"/>
        <v>#REF!</v>
      </c>
      <c r="F11" s="461">
        <f>SUMIF(Kabupaten!I112:I121,"D",Kabupaten!E112:E121)+SUMIF(Kabupaten!I112:I121,"DS",Kabupaten!E112:E121)</f>
        <v>45777.713508967296</v>
      </c>
      <c r="G11" s="457" t="e">
        <f t="shared" ref="G11:H11" si="9">#REF!</f>
        <v>#REF!</v>
      </c>
      <c r="H11" s="457" t="e">
        <f t="shared" si="9"/>
        <v>#REF!</v>
      </c>
      <c r="I11" s="461">
        <f>SUMIFS(Kabupaten!$E$7:$E$520,Kabupaten!$C$7:$C$520,"Bengkulu",Kabupaten!$I$7:$I$520,"DS")</f>
        <v>14595.863817618701</v>
      </c>
      <c r="J11" s="461">
        <f t="shared" si="2"/>
        <v>-2697.3461823812977</v>
      </c>
      <c r="K11" s="461">
        <f>SUMIFS(Kabupaten!J7:J520,Kabupaten!$C$7:$C$520,"Bengkulu",Kabupaten!$I$7:$I$520,"DS")</f>
        <v>17293.21</v>
      </c>
      <c r="L11" s="457" t="e">
        <f t="shared" si="3"/>
        <v>#REF!</v>
      </c>
      <c r="M11" s="461">
        <f>SUMIFS(Kabupaten!$E$7:$E$520,Kabupaten!$C$7:$C$520,"Bengkulu",Kabupaten!$I$7:$I$520,"D")</f>
        <v>31181.849691348591</v>
      </c>
      <c r="N11" s="461"/>
      <c r="O11" s="1"/>
    </row>
    <row r="12" spans="1:26">
      <c r="A12" s="462">
        <v>8</v>
      </c>
      <c r="B12" s="463" t="s">
        <v>2509</v>
      </c>
      <c r="C12" s="464">
        <v>15</v>
      </c>
      <c r="D12" s="460">
        <f>SUMIF('BU of PERDA RTRW LP2B DAN PERKA'!$H$3:$H$542,"Aceh",'BU of PERDA RTRW LP2B DAN PERKA'!$J$3:$J$546)</f>
        <v>213998.36149629761</v>
      </c>
      <c r="E12" s="462" t="e">
        <f t="shared" si="0"/>
        <v>#REF!</v>
      </c>
      <c r="F12" s="465">
        <f>SUMIF(Kabupaten!I146:I160,"D",Kabupaten!E146:E160)+SUMIF(Kabupaten!I146:I160,"DS",Kabupaten!E146:E160)</f>
        <v>361698.91370781319</v>
      </c>
      <c r="G12" s="462" t="e">
        <f t="shared" ref="G12:H12" si="10">#REF!</f>
        <v>#REF!</v>
      </c>
      <c r="H12" s="462" t="e">
        <f t="shared" si="10"/>
        <v>#REF!</v>
      </c>
      <c r="I12" s="461">
        <f>SUMIFS(Kabupaten!$E$7:$E$520,Kabupaten!$C$7:$C$520,"Lampung",Kabupaten!$I$7:$I$520,"DS")</f>
        <v>253722.30215605517</v>
      </c>
      <c r="J12" s="465">
        <f t="shared" si="2"/>
        <v>-7471.4328439447854</v>
      </c>
      <c r="K12" s="461">
        <f>SUMIFS(Kabupaten!J7:J520,Kabupaten!$C$7:$C$520,"Lampung",Kabupaten!$I$7:$I$520,"DS")</f>
        <v>261193.73499999996</v>
      </c>
      <c r="L12" s="462" t="e">
        <f t="shared" si="3"/>
        <v>#REF!</v>
      </c>
      <c r="M12" s="465">
        <f>SUMIFS(Kabupaten!$E$7:$E$520,Kabupaten!$C$7:$C$520,"Lampung",Kabupaten!$I$7:$I$520,"D")</f>
        <v>107976.611551758</v>
      </c>
      <c r="N12" s="465"/>
      <c r="O12" s="557"/>
      <c r="R12" s="557"/>
      <c r="S12" s="557"/>
      <c r="T12" s="557"/>
      <c r="U12" s="557"/>
      <c r="V12" s="557"/>
      <c r="W12" s="557"/>
      <c r="X12" s="557"/>
      <c r="Y12" s="557"/>
      <c r="Z12" s="557"/>
    </row>
    <row r="13" spans="1:26">
      <c r="A13" s="457">
        <v>9</v>
      </c>
      <c r="B13" s="458" t="s">
        <v>2510</v>
      </c>
      <c r="C13" s="459">
        <v>7</v>
      </c>
      <c r="D13" s="460">
        <f>SUMIF('BU of PERDA RTRW LP2B DAN PERKA'!$H$3:$H$542,"Aceh",'BU of PERDA RTRW LP2B DAN PERKA'!$J$3:$J$546)</f>
        <v>213998.36149629761</v>
      </c>
      <c r="E13" s="457" t="e">
        <f t="shared" si="0"/>
        <v>#REF!</v>
      </c>
      <c r="F13" s="461">
        <f>SUMIF(Kabupaten!I139:I145,"D",Kabupaten!E139:E1140)+SUMIF(Kabupaten!I139:I145,"DS",Kabupaten!E139:E1140)</f>
        <v>22402.263944410457</v>
      </c>
      <c r="G13" s="457" t="e">
        <f t="shared" ref="G13:H13" si="11">#REF!</f>
        <v>#REF!</v>
      </c>
      <c r="H13" s="457" t="e">
        <f t="shared" si="11"/>
        <v>#REF!</v>
      </c>
      <c r="I13" s="461">
        <f>SUMIFS(Kabupaten!$E$7:$E$520,Kabupaten!$C$7:$C$520,"Kepulauan Bangka Belitung",Kabupaten!$I$7:$I$520,"DS")</f>
        <v>3913.8036895740556</v>
      </c>
      <c r="J13" s="461">
        <f t="shared" si="2"/>
        <v>-439.7763104259443</v>
      </c>
      <c r="K13" s="461">
        <f>SUMIFS(Kabupaten!J7:J520,Kabupaten!$C$7:$C$520,"Kepulauan Bangka Belitung",Kabupaten!$I$7:$I$520,"DS")</f>
        <v>4353.58</v>
      </c>
      <c r="L13" s="457" t="e">
        <f t="shared" si="3"/>
        <v>#REF!</v>
      </c>
      <c r="M13" s="461">
        <f>SUMIFS(Kabupaten!$E$7:$E$520,Kabupaten!$C$7:$C$520,"Kepulauan Bangka Belitung",Kabupaten!$I$7:$I$520,"D")</f>
        <v>18488.460254836402</v>
      </c>
      <c r="N13" s="461"/>
      <c r="O13" s="1"/>
    </row>
    <row r="14" spans="1:26">
      <c r="A14" s="457">
        <v>10</v>
      </c>
      <c r="B14" s="458" t="s">
        <v>2511</v>
      </c>
      <c r="C14" s="459">
        <v>7</v>
      </c>
      <c r="D14" s="460">
        <f>SUMIF('BU of PERDA RTRW LP2B DAN PERKA'!$H$3:$H$542,"Aceh",'BU of PERDA RTRW LP2B DAN PERKA'!$J$3:$J$546)</f>
        <v>213998.36149629761</v>
      </c>
      <c r="E14" s="457" t="e">
        <f t="shared" si="0"/>
        <v>#REF!</v>
      </c>
      <c r="F14" s="461">
        <f>SUMIF(Kabupaten!I94:I100,"D",Kabupaten!E94:E100)+SUMIF(Kabupaten!I94:I100,"DS",Kabupaten!E94:E100)</f>
        <v>1393.1614779068827</v>
      </c>
      <c r="G14" s="457" t="e">
        <f t="shared" ref="G14:H14" si="12">#REF!</f>
        <v>#REF!</v>
      </c>
      <c r="H14" s="457" t="e">
        <f t="shared" si="12"/>
        <v>#REF!</v>
      </c>
      <c r="I14" s="461">
        <f>SUMIFS(Kabupaten!$E$7:$E$520,Kabupaten!$C$7:$C$520,"Kepulauan Riau",Kabupaten!$I$7:$I$520,"DS")</f>
        <v>779.26550042209988</v>
      </c>
      <c r="J14" s="461">
        <f t="shared" si="2"/>
        <v>-1247.0644995779001</v>
      </c>
      <c r="K14" s="461">
        <f>SUMIFS(Kabupaten!J7:J520,Kabupaten!$C$7:$C$520,"Kepulauan Riau",Kabupaten!$I$7:$I$520,"DS")</f>
        <v>2026.33</v>
      </c>
      <c r="L14" s="457" t="e">
        <f t="shared" si="3"/>
        <v>#REF!</v>
      </c>
      <c r="M14" s="461">
        <f>SUMIFS(Kabupaten!$E$7:$E$520,Kabupaten!$C$7:$C$520,"Kepulauan Riau",Kabupaten!$I$7:$I$520,"D")</f>
        <v>613.89597748478297</v>
      </c>
      <c r="N14" s="461"/>
      <c r="O14" s="1"/>
    </row>
    <row r="15" spans="1:26">
      <c r="A15" s="457">
        <v>11</v>
      </c>
      <c r="B15" s="458" t="s">
        <v>2512</v>
      </c>
      <c r="C15" s="459">
        <v>8</v>
      </c>
      <c r="D15" s="460">
        <f>SUMIF('BU of PERDA RTRW LP2B DAN PERKA'!$H$3:$H$542,"Aceh",'BU of PERDA RTRW LP2B DAN PERKA'!$J$3:$J$546)</f>
        <v>213998.36149629761</v>
      </c>
      <c r="E15" s="457" t="e">
        <f t="shared" si="0"/>
        <v>#REF!</v>
      </c>
      <c r="F15" s="461">
        <f>SUMIF(Kabupaten!I161:I168,"D",Kabupaten!E161:E168)+SUMIF(Kabupaten!I161:I168,"DS",Kabupaten!E161:E168)</f>
        <v>202954.17973132728</v>
      </c>
      <c r="G15" s="457" t="e">
        <f t="shared" ref="G15:H15" si="13">#REF!</f>
        <v>#REF!</v>
      </c>
      <c r="H15" s="457" t="e">
        <f t="shared" si="13"/>
        <v>#REF!</v>
      </c>
      <c r="I15" s="461">
        <f>SUMIFS(Kabupaten!$E$7:$E$520,Kabupaten!$C$7:$C$520,"Banten",Kabupaten!$I$7:$I$520,"DS")</f>
        <v>202954.17973132728</v>
      </c>
      <c r="J15" s="461">
        <f t="shared" si="2"/>
        <v>79505.829731327278</v>
      </c>
      <c r="K15" s="461">
        <f>SUMIFS(Kabupaten!J7:J520,Kabupaten!$C$7:$C$520,"Banten",Kabupaten!$I$7:$I$520,"DS")</f>
        <v>123448.35</v>
      </c>
      <c r="L15" s="457" t="e">
        <f t="shared" si="3"/>
        <v>#REF!</v>
      </c>
      <c r="M15" s="461">
        <f>SUMIFS(Kabupaten!$E$7:$E$520,Kabupaten!$C$7:$C$520,"Banten",Kabupaten!$I$7:$I$520,"D")</f>
        <v>0</v>
      </c>
      <c r="N15" s="466"/>
      <c r="O15" s="1"/>
    </row>
    <row r="16" spans="1:26">
      <c r="A16" s="457">
        <v>12</v>
      </c>
      <c r="B16" s="458" t="s">
        <v>45</v>
      </c>
      <c r="C16" s="459">
        <v>6</v>
      </c>
      <c r="D16" s="460">
        <f>SUMIF('BU of PERDA RTRW LP2B DAN PERKA'!$H$3:$H$542,"Aceh",'BU of PERDA RTRW LP2B DAN PERKA'!$J$3:$J$546)</f>
        <v>213998.36149629761</v>
      </c>
      <c r="E16" s="457"/>
      <c r="F16" s="461"/>
      <c r="G16" s="457"/>
      <c r="H16" s="457"/>
      <c r="I16" s="461">
        <f>SUMIFS(Kabupaten!$E$7:$E$520,Kabupaten!$C$7:$C$520,"DKI Jakarta",Kabupaten!$I$7:$I$520,"DS")</f>
        <v>0</v>
      </c>
      <c r="J16" s="461">
        <f t="shared" si="2"/>
        <v>0</v>
      </c>
      <c r="K16" s="461">
        <f>SUMIFS(Kabupaten!J7:J520,Kabupaten!$C$7:$C$520,"DKI Jakarta",Kabupaten!$I$7:$I$520,"DS")</f>
        <v>0</v>
      </c>
      <c r="L16" s="457">
        <f t="shared" si="3"/>
        <v>0</v>
      </c>
      <c r="M16" s="461">
        <f>SUMIFS(Kabupaten!$E$7:$E$520,Kabupaten!$C$7:$C$520,"DKI Jakarta",Kabupaten!$I$7:$I$520,"D")</f>
        <v>0</v>
      </c>
      <c r="N16" s="466"/>
      <c r="O16" s="1"/>
    </row>
    <row r="17" spans="1:26">
      <c r="A17" s="457">
        <v>12</v>
      </c>
      <c r="B17" s="458" t="s">
        <v>2513</v>
      </c>
      <c r="C17" s="459">
        <v>27</v>
      </c>
      <c r="D17" s="460">
        <f>SUMIF('BU of PERDA RTRW LP2B DAN PERKA'!$H$3:$H$542,"Aceh",'BU of PERDA RTRW LP2B DAN PERKA'!$J$3:$J$546)</f>
        <v>213998.36149629761</v>
      </c>
      <c r="E17" s="457" t="e">
        <f t="shared" ref="E17:E38" si="14">#REF!</f>
        <v>#REF!</v>
      </c>
      <c r="F17" s="461">
        <f>SUMIF(Kabupaten!I175:I201,"D",Kabupaten!E175:E201)+SUMIF(Kabupaten!I175:I201,"DS",Kabupaten!E175:E201)</f>
        <v>922313.21914386365</v>
      </c>
      <c r="G17" s="457" t="e">
        <f t="shared" ref="G17:H17" si="15">#REF!</f>
        <v>#REF!</v>
      </c>
      <c r="H17" s="457" t="e">
        <f t="shared" si="15"/>
        <v>#REF!</v>
      </c>
      <c r="I17" s="461">
        <f>SUMIFS(Kabupaten!$E$7:$E$520,Kabupaten!$C$7:$C$520,"Jawa Barat",Kabupaten!$I$7:$I$520,"DS")</f>
        <v>691704.97711964604</v>
      </c>
      <c r="J17" s="461">
        <f t="shared" si="2"/>
        <v>142855.03711964609</v>
      </c>
      <c r="K17" s="461">
        <f>SUMIFS(Kabupaten!J7:J520,Kabupaten!$C$7:$C$520,"Jawa Barat",Kabupaten!$I$7:$I$520,"DS")</f>
        <v>548849.93999999994</v>
      </c>
      <c r="L17" s="457" t="e">
        <f t="shared" si="3"/>
        <v>#REF!</v>
      </c>
      <c r="M17" s="461">
        <f>SUMIFS(Kabupaten!$E$7:$E$520,Kabupaten!$C$7:$C$520,"Jawa Barat",Kabupaten!$I$7:$I$520,"D")</f>
        <v>230608.24202421762</v>
      </c>
      <c r="N17" s="466"/>
      <c r="O17" s="1"/>
    </row>
    <row r="18" spans="1:26">
      <c r="A18" s="457">
        <v>13</v>
      </c>
      <c r="B18" s="458" t="s">
        <v>2514</v>
      </c>
      <c r="C18" s="459">
        <v>35</v>
      </c>
      <c r="D18" s="460">
        <f>SUMIF('BU of PERDA RTRW LP2B DAN PERKA'!$H$3:$H$542,"Aceh",'BU of PERDA RTRW LP2B DAN PERKA'!$J$3:$J$546)</f>
        <v>213998.36149629761</v>
      </c>
      <c r="E18" s="457" t="e">
        <f t="shared" si="14"/>
        <v>#REF!</v>
      </c>
      <c r="F18" s="461">
        <f>SUMIFS(Kabupaten!$E$7:$E$520,Kabupaten!$C$7:$C$520,"Jawa Tengah",Kabupaten!$I$7:$I$520,"DS")+SUMIFS(Kabupaten!$E$7:$E$520,Kabupaten!$C$7:$C$520,"Jawa Tengah",Kabupaten!$I$7:$I$520,"D")</f>
        <v>1049580.298810347</v>
      </c>
      <c r="G18" s="457" t="e">
        <f t="shared" ref="G18:H18" si="16">#REF!</f>
        <v>#REF!</v>
      </c>
      <c r="H18" s="457" t="e">
        <f t="shared" si="16"/>
        <v>#REF!</v>
      </c>
      <c r="I18" s="461">
        <f>SUMIFS(Kabupaten!$E$7:$E$520,Kabupaten!$C$7:$C$520,"Jawa Tengah",Kabupaten!$I$7:$I$520,"DS")</f>
        <v>1049580.298810347</v>
      </c>
      <c r="J18" s="461">
        <f t="shared" si="2"/>
        <v>47818.848810347146</v>
      </c>
      <c r="K18" s="461">
        <f>SUMIFS(Kabupaten!J7:J520,Kabupaten!$C$7:$C$520,"Jawa Tengah",Kabupaten!$I$7:$I$520,"DS")</f>
        <v>1001761.4499999998</v>
      </c>
      <c r="L18" s="457" t="e">
        <f t="shared" si="3"/>
        <v>#REF!</v>
      </c>
      <c r="M18" s="461">
        <f>SUMIFS(Kabupaten!$E$7:$E$520,Kabupaten!$C$7:$C$520,"Jawa Tengah",Kabupaten!$I$7:$I$520,"D")</f>
        <v>0</v>
      </c>
      <c r="N18" s="466"/>
      <c r="O18" s="1"/>
    </row>
    <row r="19" spans="1:26">
      <c r="A19" s="457">
        <v>14</v>
      </c>
      <c r="B19" s="458" t="s">
        <v>2515</v>
      </c>
      <c r="C19" s="459">
        <v>5</v>
      </c>
      <c r="D19" s="460">
        <f>SUMIF('BU of PERDA RTRW LP2B DAN PERKA'!$H$3:$H$542,"Aceh",'BU of PERDA RTRW LP2B DAN PERKA'!$J$3:$J$546)</f>
        <v>213998.36149629761</v>
      </c>
      <c r="E19" s="457" t="e">
        <f t="shared" si="14"/>
        <v>#REF!</v>
      </c>
      <c r="F19" s="461">
        <f>SUMIF(Kabupaten!I237:I240,"D",Kabupaten!E237:E240)+SUMIF(Kabupaten!I237:I240,"DS",Kabupaten!E237:E240)</f>
        <v>76221.777827134269</v>
      </c>
      <c r="G19" s="457" t="e">
        <f t="shared" ref="G19:H19" si="17">#REF!</f>
        <v>#REF!</v>
      </c>
      <c r="H19" s="457" t="e">
        <f t="shared" si="17"/>
        <v>#REF!</v>
      </c>
      <c r="I19" s="461">
        <f>SUMIFS(Kabupaten!$E$7:$E$520,Kabupaten!$C$7:$C$520,"DI Yogyakarta",Kabupaten!$I$7:$I$520,"DS")</f>
        <v>76221.777827134269</v>
      </c>
      <c r="J19" s="461">
        <f t="shared" si="2"/>
        <v>384.63782713426917</v>
      </c>
      <c r="K19" s="461">
        <f>SUMIFS(Kabupaten!J7:J520,Kabupaten!$C$7:$C$520,"DI Yogyakarta",Kabupaten!$I$7:$I$520,"DS")</f>
        <v>75837.14</v>
      </c>
      <c r="L19" s="457" t="e">
        <f t="shared" si="3"/>
        <v>#REF!</v>
      </c>
      <c r="M19" s="461">
        <f>SUMIFS(Kabupaten!$E$7:$E$520,Kabupaten!$C$7:$C$520,"DI Yogyakarta",Kabupaten!$I$7:$I$520,"D")</f>
        <v>0</v>
      </c>
      <c r="N19" s="466"/>
      <c r="O19" s="1"/>
    </row>
    <row r="20" spans="1:26">
      <c r="A20" s="462">
        <v>15</v>
      </c>
      <c r="B20" s="463" t="s">
        <v>2516</v>
      </c>
      <c r="C20" s="464">
        <v>38</v>
      </c>
      <c r="D20" s="460">
        <f>SUMIF('BU of PERDA RTRW LP2B DAN PERKA'!$H$3:$H$542,"Aceh",'BU of PERDA RTRW LP2B DAN PERKA'!$J$3:$J$546)</f>
        <v>213998.36149629761</v>
      </c>
      <c r="E20" s="462" t="e">
        <f t="shared" si="14"/>
        <v>#REF!</v>
      </c>
      <c r="F20" s="465">
        <f>SUMIF(Kabupaten!I242:I279,"D",Kabupaten!E242:E279)+SUMIF(Kabupaten!I242:I279,"DS",Kabupaten!E242:E279)</f>
        <v>1212683.0736277411</v>
      </c>
      <c r="G20" s="462" t="e">
        <f t="shared" ref="G20:H20" si="18">#REF!</f>
        <v>#REF!</v>
      </c>
      <c r="H20" s="462" t="e">
        <f t="shared" si="18"/>
        <v>#REF!</v>
      </c>
      <c r="I20" s="461">
        <f>SUMIFS(Kabupaten!$E$7:$E$520,Kabupaten!$C$7:$C$520,"Jawa Timur",Kabupaten!$I$7:$I$520,"DS")</f>
        <v>1025906.6895784577</v>
      </c>
      <c r="J20" s="465">
        <f t="shared" si="2"/>
        <v>158411.57027746225</v>
      </c>
      <c r="K20" s="461">
        <f>SUMIFS(Kabupaten!J7:J520,Kabupaten!$C$7:$C$520,"Jawa Timur",Kabupaten!$I$7:$I$520,"DS")</f>
        <v>867495.11930099549</v>
      </c>
      <c r="L20" s="462" t="e">
        <f t="shared" si="3"/>
        <v>#REF!</v>
      </c>
      <c r="M20" s="465">
        <f>SUMIFS(Kabupaten!$E$7:$E$520,Kabupaten!$C$7:$C$520,"Jawa Timur",Kabupaten!$I$7:$I$520,"D")</f>
        <v>186776.38404928346</v>
      </c>
      <c r="N20" s="467"/>
      <c r="O20" s="557"/>
      <c r="R20" s="557"/>
      <c r="S20" s="557"/>
      <c r="T20" s="557"/>
      <c r="U20" s="557"/>
      <c r="V20" s="557"/>
      <c r="W20" s="557"/>
      <c r="X20" s="557"/>
      <c r="Y20" s="557"/>
      <c r="Z20" s="557"/>
    </row>
    <row r="21" spans="1:26" ht="15.75" customHeight="1">
      <c r="A21" s="457">
        <v>16</v>
      </c>
      <c r="B21" s="458" t="s">
        <v>2517</v>
      </c>
      <c r="C21" s="459">
        <v>9</v>
      </c>
      <c r="D21" s="460">
        <f>SUMIF('BU of PERDA RTRW LP2B DAN PERKA'!$H$3:$H$542,"Aceh",'BU of PERDA RTRW LP2B DAN PERKA'!$J$3:$J$546)</f>
        <v>213998.36149629761</v>
      </c>
      <c r="E21" s="457" t="e">
        <f t="shared" si="14"/>
        <v>#REF!</v>
      </c>
      <c r="F21" s="461">
        <f>SUMIFS(Kabupaten!$E$7:$E$520,Kabupaten!$C$7:$C$520,"Bali",Kabupaten!$I$7:$I$520,"DS")+SUMIFS(Kabupaten!$E$7:$E$520,Kabupaten!$C$7:$C$520,"Bali",Kabupaten!$I$7:$I$520,"D")</f>
        <v>70995.879549478632</v>
      </c>
      <c r="G21" s="457" t="e">
        <f t="shared" ref="G21:H21" si="19">#REF!</f>
        <v>#REF!</v>
      </c>
      <c r="H21" s="457" t="e">
        <f t="shared" si="19"/>
        <v>#REF!</v>
      </c>
      <c r="I21" s="461">
        <f>SUMIFS(Kabupaten!$E$7:$E$520,Kabupaten!$C$7:$C$520,"Bali",Kabupaten!$I$7:$I$520,"DS")</f>
        <v>61645.752361949417</v>
      </c>
      <c r="J21" s="461">
        <f t="shared" si="2"/>
        <v>15896.222361949418</v>
      </c>
      <c r="K21" s="461">
        <f>SUMIFS(Kabupaten!J7:J520,Kabupaten!$C$7:$C$520,"Bali",Kabupaten!$I$7:$I$520,"DS")</f>
        <v>45749.53</v>
      </c>
      <c r="L21" s="457" t="e">
        <f t="shared" si="3"/>
        <v>#REF!</v>
      </c>
      <c r="M21" s="461">
        <f>SUMIFS(Kabupaten!$E$7:$E$520,Kabupaten!$C$7:$C$520,"Bali",Kabupaten!$I$7:$I$520,"D")</f>
        <v>9350.1271875292132</v>
      </c>
      <c r="N21" s="466"/>
      <c r="O21" s="1"/>
    </row>
    <row r="22" spans="1:26" ht="15.75" customHeight="1">
      <c r="A22" s="457">
        <v>17</v>
      </c>
      <c r="B22" s="458" t="s">
        <v>2518</v>
      </c>
      <c r="C22" s="459">
        <v>10</v>
      </c>
      <c r="D22" s="460">
        <f>SUMIF('BU of PERDA RTRW LP2B DAN PERKA'!$H$3:$H$542,"Aceh",'BU of PERDA RTRW LP2B DAN PERKA'!$J$3:$J$546)</f>
        <v>213998.36149629761</v>
      </c>
      <c r="E22" s="457" t="e">
        <f t="shared" si="14"/>
        <v>#REF!</v>
      </c>
      <c r="F22" s="461">
        <f>SUMIF(Kabupaten!I289:I298,"D",Kabupaten!E289:E298)+SUMIF(Kabupaten!I289:I298,"DS",Kabupaten!E289:E298)</f>
        <v>229425.01039010327</v>
      </c>
      <c r="G22" s="457" t="e">
        <f t="shared" ref="G22:H22" si="20">#REF!</f>
        <v>#REF!</v>
      </c>
      <c r="H22" s="457" t="e">
        <f t="shared" si="20"/>
        <v>#REF!</v>
      </c>
      <c r="I22" s="461">
        <f>SUMIFS(Kabupaten!$E$7:$E$520,Kabupaten!$C$7:$C$520,"Nusa Tenggara Barat",Kabupaten!$I$7:$I$520,"DS")</f>
        <v>169861.68345118544</v>
      </c>
      <c r="J22" s="461">
        <f t="shared" si="2"/>
        <v>-53456.046548814542</v>
      </c>
      <c r="K22" s="461">
        <f>SUMIFS(Kabupaten!J7:J520,Kabupaten!$C$7:$C$520,"Nusa Tenggara Barat",Kabupaten!$I$7:$I$520,"DS")</f>
        <v>223317.72999999998</v>
      </c>
      <c r="L22" s="457" t="e">
        <f t="shared" si="3"/>
        <v>#REF!</v>
      </c>
      <c r="M22" s="461">
        <f>SUMIFS(Kabupaten!$E$7:$E$520,Kabupaten!$C$7:$C$520,"Nusa Tenggara Barat",Kabupaten!$I$7:$I$520,"D")</f>
        <v>59563.326938917824</v>
      </c>
      <c r="N22" s="466"/>
      <c r="O22" s="1"/>
    </row>
    <row r="23" spans="1:26" ht="15.75" customHeight="1">
      <c r="A23" s="457">
        <v>18</v>
      </c>
      <c r="B23" s="458" t="s">
        <v>2519</v>
      </c>
      <c r="C23" s="459">
        <v>22</v>
      </c>
      <c r="D23" s="460">
        <f>SUMIF('BU of PERDA RTRW LP2B DAN PERKA'!$H$3:$H$542,"Aceh",'BU of PERDA RTRW LP2B DAN PERKA'!$J$3:$J$546)</f>
        <v>213998.36149629761</v>
      </c>
      <c r="E23" s="457" t="e">
        <f t="shared" si="14"/>
        <v>#REF!</v>
      </c>
      <c r="F23" s="461">
        <f>SUMIF(Kabupaten!I299:I320,"D",Kabupaten!E299:E320)+SUMIF(Kabupaten!I299:I320,"DS",Kabupaten!E299:E320)</f>
        <v>148642.85906492319</v>
      </c>
      <c r="G23" s="457" t="e">
        <f t="shared" ref="G23:H23" si="21">#REF!</f>
        <v>#REF!</v>
      </c>
      <c r="H23" s="457" t="e">
        <f t="shared" si="21"/>
        <v>#REF!</v>
      </c>
      <c r="I23" s="461">
        <f>SUMIFS(Kabupaten!$E$7:$E$520,Kabupaten!$C$7:$C$520,"Nusa Tenggara Timur",Kabupaten!$I$7:$I$520,"DS")</f>
        <v>102344.04732443864</v>
      </c>
      <c r="J23" s="461">
        <f t="shared" si="2"/>
        <v>-341065.03267556138</v>
      </c>
      <c r="K23" s="461">
        <f>SUMIFS(Kabupaten!J7:J520,Kabupaten!$C$7:$C$520,"Nusa Tenggara Timur",Kabupaten!$I$7:$I$520,"DS")</f>
        <v>443409.08</v>
      </c>
      <c r="L23" s="457" t="e">
        <f t="shared" si="3"/>
        <v>#REF!</v>
      </c>
      <c r="M23" s="461">
        <f>SUMIFS(Kabupaten!$E$7:$E$520,Kabupaten!$C$7:$C$520,"Nusa Tenggara Timur",Kabupaten!$I$7:$I$520,"D")</f>
        <v>46298.811740484562</v>
      </c>
      <c r="N23" s="466"/>
      <c r="O23" s="1"/>
    </row>
    <row r="24" spans="1:26" ht="15.75" customHeight="1">
      <c r="A24" s="457">
        <v>19</v>
      </c>
      <c r="B24" s="458" t="s">
        <v>2520</v>
      </c>
      <c r="C24" s="459">
        <v>14</v>
      </c>
      <c r="D24" s="460">
        <f>SUMIF('BU of PERDA RTRW LP2B DAN PERKA'!$H$3:$H$542,"Aceh",'BU of PERDA RTRW LP2B DAN PERKA'!$J$3:$J$546)</f>
        <v>213998.36149629761</v>
      </c>
      <c r="E24" s="457" t="e">
        <f t="shared" si="14"/>
        <v>#REF!</v>
      </c>
      <c r="F24" s="461">
        <f>SUMIF(Kabupaten!I321:I334,"D",Kabupaten!E321:E334)+SUMIF(Kabupaten!I321:I334,"DS",Kabupaten!E321:E334)</f>
        <v>209255.65510968864</v>
      </c>
      <c r="G24" s="457" t="e">
        <f t="shared" ref="G24:H24" si="22">#REF!</f>
        <v>#REF!</v>
      </c>
      <c r="H24" s="457" t="e">
        <f t="shared" si="22"/>
        <v>#REF!</v>
      </c>
      <c r="I24" s="461">
        <f>SUMIFS(Kabupaten!$E$7:$E$520,Kabupaten!$C$7:$C$520,"Kalimantan Barat",Kabupaten!$I$7:$I$520,"DS")</f>
        <v>185204.62272581487</v>
      </c>
      <c r="J24" s="461">
        <f t="shared" si="2"/>
        <v>-51744.767274185142</v>
      </c>
      <c r="K24" s="461">
        <f>SUMIFS(Kabupaten!J7:J520,Kabupaten!$C$7:$C$520,"Kalimantan Barat",Kabupaten!$I$7:$I$520,"DS")</f>
        <v>236949.39</v>
      </c>
      <c r="L24" s="457" t="e">
        <f t="shared" si="3"/>
        <v>#REF!</v>
      </c>
      <c r="M24" s="461">
        <f>SUMIFS(Kabupaten!$E$7:$E$520,Kabupaten!$C$7:$C$520,"Kalimantan Barat",Kabupaten!$I$7:$I$520,"D")</f>
        <v>24051.032383873775</v>
      </c>
      <c r="N24" s="468"/>
      <c r="O24" s="1"/>
    </row>
    <row r="25" spans="1:26" ht="15.75" customHeight="1">
      <c r="A25" s="457">
        <v>20</v>
      </c>
      <c r="B25" s="458" t="s">
        <v>2521</v>
      </c>
      <c r="C25" s="459">
        <v>14</v>
      </c>
      <c r="D25" s="460">
        <f>SUMIF('BU of PERDA RTRW LP2B DAN PERKA'!$H$3:$H$542,"Aceh",'BU of PERDA RTRW LP2B DAN PERKA'!$J$3:$J$546)</f>
        <v>213998.36149629761</v>
      </c>
      <c r="E25" s="469" t="e">
        <f t="shared" si="14"/>
        <v>#REF!</v>
      </c>
      <c r="F25" s="461">
        <f>SUMIF(Kabupaten!I348:I361,"D",Kabupaten!E348:E361)+SUMIF(Kabupaten!I348:I361,"DS",Kabupaten!E348:E361)</f>
        <v>133552.17647858246</v>
      </c>
      <c r="G25" s="460" t="e">
        <f t="shared" ref="G25:H25" si="23">#REF!</f>
        <v>#REF!</v>
      </c>
      <c r="H25" s="457" t="e">
        <f t="shared" si="23"/>
        <v>#REF!</v>
      </c>
      <c r="I25" s="461">
        <f>SUMIFS(Kabupaten!$E$7:$E$520,Kabupaten!$C$7:$C$520,"Kalimantan Tengah",Kabupaten!$I$7:$I$520,"DS")</f>
        <v>105376.97824099092</v>
      </c>
      <c r="J25" s="461">
        <f t="shared" si="2"/>
        <v>-207027.83175900907</v>
      </c>
      <c r="K25" s="461">
        <f>SUMIFS(Kabupaten!J7:J520,Kabupaten!$C$7:$C$520,"Kalimantan Tengah",Kabupaten!$I$7:$I$520,"DS")</f>
        <v>312404.81</v>
      </c>
      <c r="L25" s="457" t="e">
        <f t="shared" si="3"/>
        <v>#REF!</v>
      </c>
      <c r="M25" s="461">
        <f>SUMIFS(Kabupaten!$E$7:$E$520,Kabupaten!$C$7:$C$520,"Kalimantan Tengah",Kabupaten!$I$7:$I$520,"D")</f>
        <v>28175.198237591543</v>
      </c>
      <c r="N25" s="468"/>
      <c r="O25" s="1"/>
    </row>
    <row r="26" spans="1:26" ht="15.75" customHeight="1">
      <c r="A26" s="457">
        <v>21</v>
      </c>
      <c r="B26" s="458" t="s">
        <v>2522</v>
      </c>
      <c r="C26" s="459">
        <v>13</v>
      </c>
      <c r="D26" s="460">
        <f>SUMIF('BU of PERDA RTRW LP2B DAN PERKA'!$H$3:$H$542,"Aceh",'BU of PERDA RTRW LP2B DAN PERKA'!$J$3:$J$546)</f>
        <v>213998.36149629761</v>
      </c>
      <c r="E26" s="469" t="e">
        <f t="shared" si="14"/>
        <v>#REF!</v>
      </c>
      <c r="F26" s="461">
        <f>SUMIF(Kabupaten!I335:I347,"D",Kabupaten!E335:E347)+SUMIF(Kabupaten!I335:I347,"DS",Kabupaten!E335:E347)</f>
        <v>291145.2037258179</v>
      </c>
      <c r="G26" s="460" t="e">
        <f t="shared" ref="G26:H26" si="24">#REF!</f>
        <v>#REF!</v>
      </c>
      <c r="H26" s="457" t="e">
        <f t="shared" si="24"/>
        <v>#REF!</v>
      </c>
      <c r="I26" s="461">
        <f>SUMIFS(Kabupaten!$E$7:$E$520,Kabupaten!$C$7:$C$520,"Kalimantan Selatan",Kabupaten!$I$7:$I$520,"DS")</f>
        <v>223394.90864631947</v>
      </c>
      <c r="J26" s="461">
        <f t="shared" si="2"/>
        <v>-19407.371353680501</v>
      </c>
      <c r="K26" s="461">
        <f>SUMIFS(Kabupaten!J7:J520,Kabupaten!$C$7:$C$520,"Kalimantan Selatan",Kabupaten!$I$7:$I$520,"DS")</f>
        <v>242802.27999999997</v>
      </c>
      <c r="L26" s="457" t="e">
        <f t="shared" si="3"/>
        <v>#REF!</v>
      </c>
      <c r="M26" s="461">
        <f>SUMIFS(Kabupaten!$E$7:$E$520,Kabupaten!$C$7:$C$520,"Kalimantan Selatan",Kabupaten!$I$7:$I$520,"D")</f>
        <v>67750.29507949845</v>
      </c>
      <c r="N26" s="468"/>
      <c r="O26" s="1"/>
    </row>
    <row r="27" spans="1:26" ht="15.75" customHeight="1">
      <c r="A27" s="457">
        <v>22</v>
      </c>
      <c r="B27" s="458" t="s">
        <v>2523</v>
      </c>
      <c r="C27" s="459">
        <v>10</v>
      </c>
      <c r="D27" s="460">
        <f>SUMIF('BU of PERDA RTRW LP2B DAN PERKA'!$H$3:$H$542,"Aceh",'BU of PERDA RTRW LP2B DAN PERKA'!$J$3:$J$546)</f>
        <v>213998.36149629761</v>
      </c>
      <c r="E27" s="457" t="e">
        <f t="shared" si="14"/>
        <v>#REF!</v>
      </c>
      <c r="F27" s="461">
        <f>SUMIF(Kabupaten!I362:I371,"D",Kabupaten!E362:E371)+SUMIF(Kabupaten!I362:I371,"DS",Kabupaten!E362:E371)</f>
        <v>38766.856774786102</v>
      </c>
      <c r="G27" s="457" t="e">
        <f t="shared" ref="G27:H27" si="25">#REF!</f>
        <v>#REF!</v>
      </c>
      <c r="H27" s="457" t="e">
        <f t="shared" si="25"/>
        <v>#REF!</v>
      </c>
      <c r="I27" s="461">
        <f>SUMIFS(Kabupaten!$E$7:$E$520,Kabupaten!$C$7:$C$520,"Kalimantan Timur",Kabupaten!$I$7:$I$520,"DS")</f>
        <v>9498.7705256627123</v>
      </c>
      <c r="J27" s="461">
        <f t="shared" si="2"/>
        <v>-4278.7994743372874</v>
      </c>
      <c r="K27" s="461">
        <f>SUMIFS(Kabupaten!J7:J520,Kabupaten!$C$7:$C$520,"Kalimantan Timur",Kabupaten!$I$7:$I$520,"DS")</f>
        <v>13777.57</v>
      </c>
      <c r="L27" s="457" t="e">
        <f t="shared" si="3"/>
        <v>#REF!</v>
      </c>
      <c r="M27" s="461">
        <f>SUMIFS(Kabupaten!$E$7:$E$520,Kabupaten!$C$7:$C$520,"Kalimantan Timur",Kabupaten!$I$7:$I$520,"D")</f>
        <v>29268.086249123389</v>
      </c>
      <c r="N27" s="468"/>
      <c r="O27" s="1"/>
    </row>
    <row r="28" spans="1:26" ht="15.75" customHeight="1">
      <c r="A28" s="457">
        <v>23</v>
      </c>
      <c r="B28" s="458" t="s">
        <v>2524</v>
      </c>
      <c r="C28" s="459">
        <v>5</v>
      </c>
      <c r="D28" s="460">
        <f>SUMIF('BU of PERDA RTRW LP2B DAN PERKA'!$H$3:$H$542,"Aceh",'BU of PERDA RTRW LP2B DAN PERKA'!$J$3:$J$546)</f>
        <v>213998.36149629761</v>
      </c>
      <c r="E28" s="457" t="e">
        <f t="shared" si="14"/>
        <v>#REF!</v>
      </c>
      <c r="F28" s="461">
        <f>SUMIF(Kabupaten!I372:I375,"D",Kabupaten!E372:E375)+SUMIF(Kabupaten!I372:I375,"DS",Kabupaten!E372:E375)</f>
        <v>11912.376275588798</v>
      </c>
      <c r="G28" s="457" t="e">
        <f t="shared" ref="G28:H28" si="26">#REF!</f>
        <v>#REF!</v>
      </c>
      <c r="H28" s="457" t="e">
        <f t="shared" si="26"/>
        <v>#REF!</v>
      </c>
      <c r="I28" s="461">
        <f>SUMIFS(Kabupaten!$E$7:$E$520,Kabupaten!$C$7:$C$520,"Kalimantan Utara",Kabupaten!$I$7:$I$520,"DS")</f>
        <v>5881.1427984674147</v>
      </c>
      <c r="J28" s="461">
        <f t="shared" si="2"/>
        <v>-12091.857201532584</v>
      </c>
      <c r="K28" s="461">
        <f>SUMIFS(Kabupaten!J7:J520,Kabupaten!$C$7:$C$520,"Kalimantan Utara",Kabupaten!$I$7:$I$520,"DS")</f>
        <v>17973</v>
      </c>
      <c r="L28" s="457" t="e">
        <f t="shared" si="3"/>
        <v>#REF!</v>
      </c>
      <c r="M28" s="461">
        <f>SUMIFS(Kabupaten!$E$7:$E$520,Kabupaten!$C$7:$C$520,"Kalimantan Utara",Kabupaten!$I$7:$I$520,"D")</f>
        <v>6031.2334771213827</v>
      </c>
      <c r="N28" s="468"/>
      <c r="O28" s="1"/>
    </row>
    <row r="29" spans="1:26" ht="15.75" customHeight="1">
      <c r="A29" s="457">
        <v>24</v>
      </c>
      <c r="B29" s="458" t="s">
        <v>2525</v>
      </c>
      <c r="C29" s="459">
        <v>15</v>
      </c>
      <c r="D29" s="460">
        <f>SUMIF('BU of PERDA RTRW LP2B DAN PERKA'!$H$3:$H$542,"Aceh",'BU of PERDA RTRW LP2B DAN PERKA'!$J$3:$J$546)</f>
        <v>213998.36149629761</v>
      </c>
      <c r="E29" s="457" t="e">
        <f t="shared" si="14"/>
        <v>#REF!</v>
      </c>
      <c r="F29" s="461">
        <f>SUMIF(Kabupaten!I377:I391,"D",Kabupaten!E377:E391)+SUMIF(Kabupaten!I377:I391,"DS",Kabupaten!E377:E391)</f>
        <v>21451.087134747831</v>
      </c>
      <c r="G29" s="457" t="e">
        <f t="shared" ref="G29:H29" si="27">#REF!</f>
        <v>#REF!</v>
      </c>
      <c r="H29" s="457" t="e">
        <f t="shared" si="27"/>
        <v>#REF!</v>
      </c>
      <c r="I29" s="461">
        <f>SUMIFS(Kabupaten!$E$7:$E$520,Kabupaten!$C$7:$C$520,"Sulawesi Utara",Kabupaten!$I$7:$I$520,"DS")</f>
        <v>10260.457726180246</v>
      </c>
      <c r="J29" s="461">
        <f t="shared" si="2"/>
        <v>1013.7477261802469</v>
      </c>
      <c r="K29" s="461">
        <f>SUMIFS(Kabupaten!J7:J520,Kabupaten!$C$7:$C$520,"Sulawesi Utara",Kabupaten!$I$7:$I$520,"DS")</f>
        <v>9246.7099999999991</v>
      </c>
      <c r="L29" s="457" t="e">
        <f t="shared" si="3"/>
        <v>#REF!</v>
      </c>
      <c r="M29" s="461">
        <f>SUMIFS(Kabupaten!$E$7:$E$520,Kabupaten!$C$7:$C$520,"Sulawesi Utara",Kabupaten!$I$7:$I$520,"D")</f>
        <v>11190.629408567584</v>
      </c>
      <c r="N29" s="468"/>
      <c r="O29" s="1"/>
    </row>
    <row r="30" spans="1:26" ht="15.75" customHeight="1">
      <c r="A30" s="457">
        <v>25</v>
      </c>
      <c r="B30" s="458" t="s">
        <v>2526</v>
      </c>
      <c r="C30" s="459">
        <v>13</v>
      </c>
      <c r="D30" s="460">
        <f>SUMIF('BU of PERDA RTRW LP2B DAN PERKA'!$H$3:$H$542,"Aceh",'BU of PERDA RTRW LP2B DAN PERKA'!$J$3:$J$546)</f>
        <v>213998.36149629761</v>
      </c>
      <c r="E30" s="457" t="e">
        <f t="shared" si="14"/>
        <v>#REF!</v>
      </c>
      <c r="F30" s="461">
        <f>SUMIF(Kabupaten!I392:I404,"D",Kabupaten!E392:E404)+SUMIF(Kabupaten!I392:I404,"DS",Kabupaten!E392:E404)</f>
        <v>116828.11119417289</v>
      </c>
      <c r="G30" s="457" t="e">
        <f t="shared" ref="G30:H30" si="28">#REF!</f>
        <v>#REF!</v>
      </c>
      <c r="H30" s="457" t="e">
        <f t="shared" si="28"/>
        <v>#REF!</v>
      </c>
      <c r="I30" s="461">
        <f>SUMIFS(Kabupaten!$E$7:$E$520,Kabupaten!$C$7:$C$520,"Sulawesi Tengah",Kabupaten!$I$7:$I$520,"DS")</f>
        <v>70040.970918013161</v>
      </c>
      <c r="J30" s="461">
        <f t="shared" si="2"/>
        <v>-192509.18908198681</v>
      </c>
      <c r="K30" s="461">
        <f>SUMIFS(Kabupaten!J7:J520,Kabupaten!$C$7:$C$520,"Sulawesi Tengah",Kabupaten!$I$7:$I$520,"DS")</f>
        <v>262550.15999999997</v>
      </c>
      <c r="L30" s="457" t="e">
        <f t="shared" si="3"/>
        <v>#REF!</v>
      </c>
      <c r="M30" s="461">
        <f>SUMIFS(Kabupaten!$E$7:$E$520,Kabupaten!$C$7:$C$520,"Sulawesi Tengah",Kabupaten!$I$7:$I$520,"D")</f>
        <v>46787.140276159727</v>
      </c>
      <c r="N30" s="468"/>
      <c r="O30" s="1"/>
    </row>
    <row r="31" spans="1:26" ht="15.75" customHeight="1">
      <c r="A31" s="457">
        <v>26</v>
      </c>
      <c r="B31" s="458" t="s">
        <v>2527</v>
      </c>
      <c r="C31" s="459">
        <v>24</v>
      </c>
      <c r="D31" s="460">
        <f>SUMIF('BU of PERDA RTRW LP2B DAN PERKA'!$H$3:$H$542,"Aceh",'BU of PERDA RTRW LP2B DAN PERKA'!$J$3:$J$546)</f>
        <v>213998.36149629761</v>
      </c>
      <c r="E31" s="457" t="e">
        <f t="shared" si="14"/>
        <v>#REF!</v>
      </c>
      <c r="F31" s="461">
        <f>SUMIF(Kabupaten!I411:I434,"D",Kabupaten!E411:E434)+SUMIF(Kabupaten!I411:I434,"DS",Kabupaten!E411:E434)</f>
        <v>652783.06372975116</v>
      </c>
      <c r="G31" s="457" t="e">
        <f t="shared" ref="G31:H31" si="29">#REF!</f>
        <v>#REF!</v>
      </c>
      <c r="H31" s="457" t="e">
        <f t="shared" si="29"/>
        <v>#REF!</v>
      </c>
      <c r="I31" s="461">
        <f>SUMIFS(Kabupaten!$E$7:$E$520,Kabupaten!$C$7:$C$520,"Sulawesi Selatan",Kabupaten!$I$7:$I$520,"DS")</f>
        <v>641655.33093327843</v>
      </c>
      <c r="J31" s="461">
        <f t="shared" si="2"/>
        <v>42325.578360618092</v>
      </c>
      <c r="K31" s="461">
        <f>SUMIFS(Kabupaten!J7:J520,Kabupaten!$C$7:$C$520,"Sulawesi Selatan",Kabupaten!$I$7:$I$520,"DS")</f>
        <v>599329.75257266033</v>
      </c>
      <c r="L31" s="457" t="e">
        <f t="shared" si="3"/>
        <v>#REF!</v>
      </c>
      <c r="M31" s="461">
        <f>SUMIFS(Kabupaten!$E$7:$E$520,Kabupaten!$C$7:$C$520,"Sulawesi Selatan",Kabupaten!$I$7:$I$520,"D")</f>
        <v>11127.732796472677</v>
      </c>
      <c r="N31" s="468"/>
      <c r="O31" s="1"/>
    </row>
    <row r="32" spans="1:26" ht="15.75" customHeight="1">
      <c r="A32" s="457">
        <v>27</v>
      </c>
      <c r="B32" s="458" t="s">
        <v>2528</v>
      </c>
      <c r="C32" s="459">
        <v>17</v>
      </c>
      <c r="D32" s="460">
        <f>SUMIF('BU of PERDA RTRW LP2B DAN PERKA'!$H$3:$H$542,"Aceh",'BU of PERDA RTRW LP2B DAN PERKA'!$J$3:$J$546)</f>
        <v>213998.36149629761</v>
      </c>
      <c r="E32" s="457" t="e">
        <f t="shared" si="14"/>
        <v>#REF!</v>
      </c>
      <c r="F32" s="461">
        <f>SUMIF(Kabupaten!I435:I451,"D",Kabupaten!E435:E451)+SUMIF(Kabupaten!I435:I451,"DS",Kabupaten!E435:E451)</f>
        <v>69811.323784494758</v>
      </c>
      <c r="G32" s="457" t="e">
        <f t="shared" ref="G32:H32" si="30">#REF!</f>
        <v>#REF!</v>
      </c>
      <c r="H32" s="457" t="e">
        <f t="shared" si="30"/>
        <v>#REF!</v>
      </c>
      <c r="I32" s="461">
        <f>SUMIFS(Kabupaten!$E$7:$E$520,Kabupaten!$C$7:$C$520,"Sulawesi Tenggara",Kabupaten!$I$7:$I$520,"DS")</f>
        <v>55069.232983242182</v>
      </c>
      <c r="J32" s="461">
        <f t="shared" si="2"/>
        <v>-30838.287016757808</v>
      </c>
      <c r="K32" s="461">
        <f>SUMIFS(Kabupaten!J7:J520,Kabupaten!$C$7:$C$520,"Sulawesi Tenggara",Kabupaten!$I$7:$I$520,"DS")</f>
        <v>85907.51999999999</v>
      </c>
      <c r="L32" s="457" t="e">
        <f t="shared" si="3"/>
        <v>#REF!</v>
      </c>
      <c r="M32" s="461">
        <f>SUMIFS(Kabupaten!$E$7:$E$520,Kabupaten!$C$7:$C$520,"Sulawesi Tenggara",Kabupaten!$I$7:$I$520,"D")</f>
        <v>14742.090801252571</v>
      </c>
      <c r="N32" s="468"/>
      <c r="O32" s="1"/>
    </row>
    <row r="33" spans="1:15" ht="15.75" customHeight="1">
      <c r="A33" s="457">
        <v>28</v>
      </c>
      <c r="B33" s="458" t="s">
        <v>2529</v>
      </c>
      <c r="C33" s="459">
        <v>6</v>
      </c>
      <c r="D33" s="460">
        <f>SUMIF('BU of PERDA RTRW LP2B DAN PERKA'!$H$3:$H$542,"Aceh",'BU of PERDA RTRW LP2B DAN PERKA'!$J$3:$J$546)</f>
        <v>213998.36149629761</v>
      </c>
      <c r="E33" s="457" t="e">
        <f t="shared" si="14"/>
        <v>#REF!</v>
      </c>
      <c r="F33" s="461">
        <f>SUMIF(Kabupaten!I452:I457,"D",Kabupaten!E452:E457)+SUMIF(Kabupaten!I452:I457,"DS",Kabupaten!E452:E457)</f>
        <v>17838.106551704026</v>
      </c>
      <c r="G33" s="457" t="e">
        <f t="shared" ref="G33:H33" si="31">#REF!</f>
        <v>#REF!</v>
      </c>
      <c r="H33" s="457" t="e">
        <f t="shared" si="31"/>
        <v>#REF!</v>
      </c>
      <c r="I33" s="461">
        <f>SUMIFS(Kabupaten!$E$7:$E$520,Kabupaten!$C$7:$C$520,"Gorontalo",Kabupaten!$I$7:$I$520,"DS")</f>
        <v>17838.106551704026</v>
      </c>
      <c r="J33" s="461">
        <f t="shared" si="2"/>
        <v>-7369.7134482959736</v>
      </c>
      <c r="K33" s="461">
        <f>SUMIFS(Kabupaten!J7:J520,Kabupaten!$C$7:$C$520,"Gorontalo",Kabupaten!$I$7:$I$520,"DS")</f>
        <v>25207.82</v>
      </c>
      <c r="L33" s="457" t="e">
        <f t="shared" si="3"/>
        <v>#REF!</v>
      </c>
      <c r="M33" s="461">
        <f>SUMIFS(Kabupaten!$E$7:$E$520,Kabupaten!$C$7:$C$520,"Gorontalo",Kabupaten!$I$7:$I$520,"D")</f>
        <v>0</v>
      </c>
      <c r="N33" s="468"/>
      <c r="O33" s="1"/>
    </row>
    <row r="34" spans="1:15" ht="15.75" customHeight="1">
      <c r="A34" s="457">
        <v>29</v>
      </c>
      <c r="B34" s="458" t="s">
        <v>2530</v>
      </c>
      <c r="C34" s="459">
        <v>6</v>
      </c>
      <c r="D34" s="460">
        <f>SUMIF('BU of PERDA RTRW LP2B DAN PERKA'!$H$3:$H$542,"Aceh",'BU of PERDA RTRW LP2B DAN PERKA'!$J$3:$J$546)</f>
        <v>213998.36149629761</v>
      </c>
      <c r="E34" s="457" t="e">
        <f t="shared" si="14"/>
        <v>#REF!</v>
      </c>
      <c r="F34" s="461">
        <f>SUMIF(Kabupaten!I405:I410,"D",Kabupaten!E405:E410)+SUMIF(Kabupaten!I405:I410,"DS",Kabupaten!E405:E410)</f>
        <v>39484.983864554226</v>
      </c>
      <c r="G34" s="457" t="e">
        <f t="shared" ref="G34:H34" si="32">#REF!</f>
        <v>#REF!</v>
      </c>
      <c r="H34" s="457" t="e">
        <f t="shared" si="32"/>
        <v>#REF!</v>
      </c>
      <c r="I34" s="461">
        <f>SUMIFS(Kabupaten!$E$7:$E$520,Kabupaten!$C$7:$C$520,"Sulawesi Barat",Kabupaten!$I$7:$I$520,"DS")</f>
        <v>27757.405999738199</v>
      </c>
      <c r="J34" s="461">
        <f t="shared" si="2"/>
        <v>670.79599973819859</v>
      </c>
      <c r="K34" s="461">
        <f>SUMIFS(Kabupaten!J7:J520,Kabupaten!$C$7:$C$520,"Sulawesi Barat",Kabupaten!$I$7:$I$520,"DS")</f>
        <v>27086.61</v>
      </c>
      <c r="L34" s="457" t="e">
        <f t="shared" si="3"/>
        <v>#REF!</v>
      </c>
      <c r="M34" s="461">
        <f>SUMIFS(Kabupaten!$E$7:$E$520,Kabupaten!$C$7:$C$520,"Sulawesi Barat",Kabupaten!$I$7:$I$520,"D")</f>
        <v>11727.577864816029</v>
      </c>
      <c r="N34" s="468"/>
      <c r="O34" s="1"/>
    </row>
    <row r="35" spans="1:15" ht="15.75" customHeight="1">
      <c r="A35" s="457">
        <v>30</v>
      </c>
      <c r="B35" s="458" t="s">
        <v>2531</v>
      </c>
      <c r="C35" s="459">
        <v>11</v>
      </c>
      <c r="D35" s="460">
        <f>SUMIF('BU of PERDA RTRW LP2B DAN PERKA'!$H$3:$H$542,"Aceh",'BU of PERDA RTRW LP2B DAN PERKA'!$J$3:$J$546)</f>
        <v>213998.36149629761</v>
      </c>
      <c r="E35" s="457" t="e">
        <f t="shared" si="14"/>
        <v>#REF!</v>
      </c>
      <c r="F35" s="461">
        <f>SUMIF(Kabupaten!I458:I468,"D",Kabupaten!E458:E468)+SUMIF(Kabupaten!I458:I468,"DS",Kabupaten!E458:E468)</f>
        <v>9966.8365158934139</v>
      </c>
      <c r="G35" s="457" t="e">
        <f t="shared" ref="G35:H35" si="33">#REF!</f>
        <v>#REF!</v>
      </c>
      <c r="H35" s="457" t="e">
        <f t="shared" si="33"/>
        <v>#REF!</v>
      </c>
      <c r="I35" s="461">
        <f>SUMIFS(Kabupaten!$E$7:$E$520,Kabupaten!$C$7:$C$520,"Maluku",Kabupaten!$I$7:$I$520,"DS")</f>
        <v>1846.5341213579313</v>
      </c>
      <c r="J35" s="461">
        <f t="shared" si="2"/>
        <v>-593.46587864206867</v>
      </c>
      <c r="K35" s="461">
        <f>SUMIFS(Kabupaten!J7:J520,Kabupaten!$C$7:$C$520,"Maluku",Kabupaten!$I$7:$I$520,"DS")</f>
        <v>2440</v>
      </c>
      <c r="L35" s="457" t="e">
        <f t="shared" si="3"/>
        <v>#REF!</v>
      </c>
      <c r="M35" s="461">
        <f>SUMIFS(Kabupaten!$E$7:$E$520,Kabupaten!$C$7:$C$520,"Maluku",Kabupaten!$I$7:$I$520,"D")</f>
        <v>8120.3023945354835</v>
      </c>
      <c r="N35" s="468"/>
      <c r="O35" s="1"/>
    </row>
    <row r="36" spans="1:15" ht="15.75" customHeight="1">
      <c r="A36" s="457">
        <v>31</v>
      </c>
      <c r="B36" s="458" t="s">
        <v>2532</v>
      </c>
      <c r="C36" s="459">
        <v>10</v>
      </c>
      <c r="D36" s="460">
        <f>SUMIF('BU of PERDA RTRW LP2B DAN PERKA'!$H$3:$H$542,"Aceh",'BU of PERDA RTRW LP2B DAN PERKA'!$J$3:$J$546)</f>
        <v>213998.36149629761</v>
      </c>
      <c r="E36" s="457" t="e">
        <f t="shared" si="14"/>
        <v>#REF!</v>
      </c>
      <c r="F36" s="461">
        <f>SUMIF(Kabupaten!I469:I478,"D",Kabupaten!E469:E478)+SUMIF(Kabupaten!I469:I478,"DS",Kabupaten!E469:E478)</f>
        <v>12834.598698454283</v>
      </c>
      <c r="G36" s="457" t="e">
        <f t="shared" ref="G36:H36" si="34">#REF!</f>
        <v>#REF!</v>
      </c>
      <c r="H36" s="457" t="e">
        <f t="shared" si="34"/>
        <v>#REF!</v>
      </c>
      <c r="I36" s="461">
        <f>SUMIFS(Kabupaten!$E$7:$E$520,Kabupaten!$C$7:$C$520,"Maluku Utara",Kabupaten!$I$7:$I$520,"DS")</f>
        <v>3189.5147780821617</v>
      </c>
      <c r="J36" s="461">
        <f t="shared" si="2"/>
        <v>-29961.500221917839</v>
      </c>
      <c r="K36" s="461">
        <f>SUMIFS(Kabupaten!J7:J520,Kabupaten!$C$7:$C$520,"Maluku Utara",Kabupaten!$I$7:$I$520,"DS")</f>
        <v>33151.014999999999</v>
      </c>
      <c r="L36" s="457" t="e">
        <f t="shared" si="3"/>
        <v>#REF!</v>
      </c>
      <c r="M36" s="461">
        <f>SUMIFS(Kabupaten!$E$7:$E$520,Kabupaten!$C$7:$C$520,"Maluku Utara",Kabupaten!$I$7:$I$520,"D")</f>
        <v>9645.0839203721225</v>
      </c>
      <c r="N36" s="468"/>
      <c r="O36" s="1"/>
    </row>
    <row r="37" spans="1:15" ht="15.75" customHeight="1">
      <c r="A37" s="457">
        <v>32</v>
      </c>
      <c r="B37" s="458" t="s">
        <v>2533</v>
      </c>
      <c r="C37" s="459">
        <v>13</v>
      </c>
      <c r="D37" s="460">
        <f>SUMIF('BU of PERDA RTRW LP2B DAN PERKA'!$H$3:$H$542,"Aceh",'BU of PERDA RTRW LP2B DAN PERKA'!$J$3:$J$546)</f>
        <v>213998.36149629761</v>
      </c>
      <c r="E37" s="457" t="e">
        <f t="shared" si="14"/>
        <v>#REF!</v>
      </c>
      <c r="F37" s="461">
        <f>SUMIF(Kabupaten!I479:I491,"D",Kabupaten!E479:E491)+SUMIF(Kabupaten!I479:I491,"DS",Kabupaten!E479:E491)</f>
        <v>7277.9474770519464</v>
      </c>
      <c r="G37" s="457" t="e">
        <f t="shared" ref="G37:H37" si="35">#REF!</f>
        <v>#REF!</v>
      </c>
      <c r="H37" s="457" t="e">
        <f t="shared" si="35"/>
        <v>#REF!</v>
      </c>
      <c r="I37" s="461">
        <f>SUMIFS(Kabupaten!$E$7:$E$520,Kabupaten!$C$7:$C$520,"Papua Barat",Kabupaten!$I$7:$I$520,"DS")</f>
        <v>0</v>
      </c>
      <c r="J37" s="461">
        <f t="shared" si="2"/>
        <v>0</v>
      </c>
      <c r="K37" s="461">
        <f>SUMIFS(Kabupaten!J7:J520,Kabupaten!$C$7:$C$520,"Papua Barat",Kabupaten!$I$7:$I$520,"DS")</f>
        <v>0</v>
      </c>
      <c r="L37" s="457" t="e">
        <f t="shared" si="3"/>
        <v>#REF!</v>
      </c>
      <c r="M37" s="461">
        <f>SUMIFS(Kabupaten!$E$7:$E$520,Kabupaten!$C$7:$C$520,"Papua Barat",Kabupaten!$I$7:$I$520,"D")</f>
        <v>4292.2423273691147</v>
      </c>
      <c r="N37" s="468"/>
      <c r="O37" s="1"/>
    </row>
    <row r="38" spans="1:15" ht="15.75" customHeight="1">
      <c r="A38" s="457">
        <v>33</v>
      </c>
      <c r="B38" s="458" t="s">
        <v>2534</v>
      </c>
      <c r="C38" s="459">
        <v>29</v>
      </c>
      <c r="D38" s="460">
        <f>SUMIF('BU of PERDA RTRW LP2B DAN PERKA'!$H$3:$H$542,"Aceh",'BU of PERDA RTRW LP2B DAN PERKA'!$J$3:$J$546)</f>
        <v>213998.36149629761</v>
      </c>
      <c r="E38" s="457" t="e">
        <f t="shared" si="14"/>
        <v>#REF!</v>
      </c>
      <c r="F38" s="461">
        <f>SUMIF(Kabupaten!I492:I520,"D",Kabupaten!E492:E520)+SUMIF(Kabupaten!I492:I520,"DS",Kabupaten!E492:E520)</f>
        <v>32684.379469485037</v>
      </c>
      <c r="G38" s="457" t="e">
        <f t="shared" ref="G38:H38" si="36">#REF!</f>
        <v>#REF!</v>
      </c>
      <c r="H38" s="457" t="e">
        <f t="shared" si="36"/>
        <v>#REF!</v>
      </c>
      <c r="I38" s="461">
        <f>SUMIFS(Kabupaten!$E$7:$E$520,Kabupaten!$C$7:$C$520,"Papua",Kabupaten!$I$7:$I$520,"DS")</f>
        <v>0</v>
      </c>
      <c r="J38" s="461">
        <f t="shared" si="2"/>
        <v>0</v>
      </c>
      <c r="K38" s="461">
        <f>SUMIFS(Kabupaten!J7:J520,Kabupaten!$C$7:$C$520,"Papua",Kabupaten!$I$7:$I$520,"DS")</f>
        <v>0</v>
      </c>
      <c r="L38" s="457" t="e">
        <f t="shared" si="3"/>
        <v>#REF!</v>
      </c>
      <c r="M38" s="461">
        <f>SUMIFS(Kabupaten!$E$7:$E$520,Kabupaten!$C$7:$C$520,"Papua",Kabupaten!$I$7:$I$520,"D")</f>
        <v>21.27320218805</v>
      </c>
      <c r="N38" s="468"/>
      <c r="O38" s="1"/>
    </row>
    <row r="39" spans="1:15" ht="15.75" customHeight="1">
      <c r="A39" s="659" t="s">
        <v>2535</v>
      </c>
      <c r="B39" s="559"/>
      <c r="C39" s="470">
        <f t="shared" ref="C39:M39" si="37">SUM(C5:C38)</f>
        <v>514</v>
      </c>
      <c r="D39" s="471">
        <f t="shared" si="37"/>
        <v>7370614.2760133455</v>
      </c>
      <c r="E39" s="472" t="e">
        <f t="shared" si="37"/>
        <v>#REF!</v>
      </c>
      <c r="F39" s="473">
        <f t="shared" si="37"/>
        <v>7190197.1089319382</v>
      </c>
      <c r="G39" s="473" t="e">
        <f t="shared" si="37"/>
        <v>#REF!</v>
      </c>
      <c r="H39" s="472" t="e">
        <f t="shared" si="37"/>
        <v>#REF!</v>
      </c>
      <c r="I39" s="473">
        <f t="shared" si="37"/>
        <v>5999717.9382872293</v>
      </c>
      <c r="J39" s="473">
        <f t="shared" si="37"/>
        <v>-544573.51958642516</v>
      </c>
      <c r="K39" s="473">
        <f t="shared" si="37"/>
        <v>6544291.4578736555</v>
      </c>
      <c r="L39" s="472" t="e">
        <f t="shared" si="37"/>
        <v>#REF!</v>
      </c>
      <c r="M39" s="473">
        <f t="shared" si="37"/>
        <v>1154830.3592277288</v>
      </c>
      <c r="N39" s="473">
        <v>3842517.8747340697</v>
      </c>
      <c r="O39" s="1"/>
    </row>
    <row r="40" spans="1:15" ht="15.75" customHeight="1">
      <c r="D40" s="474"/>
    </row>
    <row r="41" spans="1:15" ht="15.75" customHeight="1">
      <c r="D41" s="474"/>
      <c r="F41" s="651" t="e">
        <f>CONCATENATE("Total Luas LBS pada ",E39," Kabupaten/Kota)")</f>
        <v>#REF!</v>
      </c>
      <c r="G41" s="475"/>
      <c r="H41" s="475"/>
      <c r="I41" s="651" t="e">
        <f>CONCATENATE("Total Luas LBS pada ",H39," Kabupaten/Kota)")</f>
        <v>#REF!</v>
      </c>
      <c r="J41" s="306"/>
      <c r="K41" s="306"/>
      <c r="L41" s="306"/>
      <c r="M41" s="651" t="e">
        <f>CONCATENATE("Total Luas LBS pada ",L39," Kabupaten/Kota)")</f>
        <v>#REF!</v>
      </c>
    </row>
    <row r="42" spans="1:15" ht="15.75" customHeight="1">
      <c r="D42" s="474"/>
      <c r="F42" s="574"/>
      <c r="G42" s="475"/>
      <c r="H42" s="475"/>
      <c r="I42" s="574"/>
      <c r="J42" s="306"/>
      <c r="K42" s="306"/>
      <c r="L42" s="306"/>
      <c r="M42" s="574"/>
    </row>
    <row r="43" spans="1:15" ht="35.25" customHeight="1">
      <c r="D43" s="474"/>
      <c r="F43" s="574"/>
      <c r="G43" s="475"/>
      <c r="H43" s="475"/>
      <c r="I43" s="574"/>
      <c r="J43" s="306"/>
      <c r="K43" s="306"/>
      <c r="L43" s="306"/>
      <c r="M43" s="574"/>
    </row>
    <row r="44" spans="1:15" ht="15.75" customHeight="1">
      <c r="D44" s="474"/>
    </row>
    <row r="45" spans="1:15" ht="15.75" customHeight="1">
      <c r="D45" s="474"/>
    </row>
    <row r="46" spans="1:15" ht="15.75" customHeight="1">
      <c r="D46" s="474"/>
    </row>
    <row r="47" spans="1:15" ht="15.75" customHeight="1">
      <c r="D47" s="474"/>
    </row>
    <row r="48" spans="1:15" ht="15.75" customHeight="1">
      <c r="D48" s="474"/>
    </row>
    <row r="49" spans="4:4" ht="15.75" customHeight="1">
      <c r="D49" s="474"/>
    </row>
    <row r="50" spans="4:4" ht="15.75" customHeight="1">
      <c r="D50" s="474"/>
    </row>
    <row r="51" spans="4:4" ht="15.75" customHeight="1">
      <c r="D51" s="474"/>
    </row>
    <row r="52" spans="4:4" ht="15.75" customHeight="1">
      <c r="D52" s="474"/>
    </row>
    <row r="53" spans="4:4" ht="15.75" customHeight="1">
      <c r="D53" s="474"/>
    </row>
    <row r="54" spans="4:4" ht="15.75" customHeight="1">
      <c r="D54" s="474"/>
    </row>
    <row r="55" spans="4:4" ht="15.75" customHeight="1">
      <c r="D55" s="474"/>
    </row>
    <row r="56" spans="4:4" ht="15.75" customHeight="1">
      <c r="D56" s="474"/>
    </row>
    <row r="57" spans="4:4" ht="15.75" customHeight="1">
      <c r="D57" s="474"/>
    </row>
    <row r="58" spans="4:4" ht="15.75" customHeight="1">
      <c r="D58" s="474"/>
    </row>
    <row r="59" spans="4:4" ht="15.75" customHeight="1">
      <c r="D59" s="474"/>
    </row>
    <row r="60" spans="4:4" ht="15.75" customHeight="1">
      <c r="D60" s="474"/>
    </row>
    <row r="61" spans="4:4" ht="15.75" customHeight="1">
      <c r="D61" s="474"/>
    </row>
    <row r="62" spans="4:4" ht="15.75" customHeight="1">
      <c r="D62" s="474"/>
    </row>
    <row r="63" spans="4:4" ht="15.75" customHeight="1">
      <c r="D63" s="474"/>
    </row>
    <row r="64" spans="4:4" ht="15.75" customHeight="1">
      <c r="D64" s="474"/>
    </row>
    <row r="65" spans="4:4" ht="15.75" customHeight="1">
      <c r="D65" s="474"/>
    </row>
    <row r="66" spans="4:4" ht="15.75" customHeight="1">
      <c r="D66" s="474"/>
    </row>
    <row r="67" spans="4:4" ht="15.75" customHeight="1">
      <c r="D67" s="474"/>
    </row>
    <row r="68" spans="4:4" ht="15.75" customHeight="1">
      <c r="D68" s="474"/>
    </row>
    <row r="69" spans="4:4" ht="15.75" customHeight="1">
      <c r="D69" s="474"/>
    </row>
    <row r="70" spans="4:4" ht="15.75" customHeight="1">
      <c r="D70" s="474"/>
    </row>
    <row r="71" spans="4:4" ht="15.75" customHeight="1">
      <c r="D71" s="474"/>
    </row>
    <row r="72" spans="4:4" ht="15.75" customHeight="1">
      <c r="D72" s="474"/>
    </row>
    <row r="73" spans="4:4" ht="15.75" customHeight="1">
      <c r="D73" s="474"/>
    </row>
    <row r="74" spans="4:4" ht="15.75" customHeight="1">
      <c r="D74" s="474"/>
    </row>
    <row r="75" spans="4:4" ht="15.75" customHeight="1">
      <c r="D75" s="474"/>
    </row>
    <row r="76" spans="4:4" ht="15.75" customHeight="1">
      <c r="D76" s="474"/>
    </row>
    <row r="77" spans="4:4" ht="15.75" customHeight="1">
      <c r="D77" s="474"/>
    </row>
    <row r="78" spans="4:4" ht="15.75" customHeight="1">
      <c r="D78" s="474"/>
    </row>
    <row r="79" spans="4:4" ht="15.75" customHeight="1">
      <c r="D79" s="474"/>
    </row>
    <row r="80" spans="4:4" ht="15.75" customHeight="1">
      <c r="D80" s="474"/>
    </row>
    <row r="81" spans="4:4" ht="15.75" customHeight="1">
      <c r="D81" s="474"/>
    </row>
    <row r="82" spans="4:4" ht="15.75" customHeight="1">
      <c r="D82" s="474"/>
    </row>
    <row r="83" spans="4:4" ht="15.75" customHeight="1">
      <c r="D83" s="474"/>
    </row>
    <row r="84" spans="4:4" ht="15.75" customHeight="1">
      <c r="D84" s="474"/>
    </row>
    <row r="85" spans="4:4" ht="15.75" customHeight="1">
      <c r="D85" s="474"/>
    </row>
    <row r="86" spans="4:4" ht="15.75" customHeight="1">
      <c r="D86" s="474"/>
    </row>
    <row r="87" spans="4:4" ht="15.75" customHeight="1">
      <c r="D87" s="474"/>
    </row>
    <row r="88" spans="4:4" ht="15.75" customHeight="1">
      <c r="D88" s="474"/>
    </row>
    <row r="89" spans="4:4" ht="15.75" customHeight="1">
      <c r="D89" s="474"/>
    </row>
    <row r="90" spans="4:4" ht="15.75" customHeight="1">
      <c r="D90" s="474"/>
    </row>
    <row r="91" spans="4:4" ht="15.75" customHeight="1">
      <c r="D91" s="474"/>
    </row>
    <row r="92" spans="4:4" ht="15.75" customHeight="1">
      <c r="D92" s="474"/>
    </row>
    <row r="93" spans="4:4" ht="15.75" customHeight="1">
      <c r="D93" s="474"/>
    </row>
    <row r="94" spans="4:4" ht="15.75" customHeight="1">
      <c r="D94" s="474"/>
    </row>
    <row r="95" spans="4:4" ht="15.75" customHeight="1">
      <c r="D95" s="474"/>
    </row>
    <row r="96" spans="4:4" ht="15.75" customHeight="1">
      <c r="D96" s="474"/>
    </row>
    <row r="97" spans="4:4" ht="15.75" customHeight="1">
      <c r="D97" s="474"/>
    </row>
    <row r="98" spans="4:4" ht="15.75" customHeight="1">
      <c r="D98" s="474"/>
    </row>
    <row r="99" spans="4:4" ht="15.75" customHeight="1">
      <c r="D99" s="474"/>
    </row>
    <row r="100" spans="4:4" ht="15.75" customHeight="1">
      <c r="D100" s="474"/>
    </row>
    <row r="101" spans="4:4" ht="15.75" customHeight="1">
      <c r="D101" s="474"/>
    </row>
    <row r="102" spans="4:4" ht="15.75" customHeight="1">
      <c r="D102" s="474"/>
    </row>
    <row r="103" spans="4:4" ht="15.75" customHeight="1">
      <c r="D103" s="474"/>
    </row>
    <row r="104" spans="4:4" ht="15.75" customHeight="1">
      <c r="D104" s="474"/>
    </row>
    <row r="105" spans="4:4" ht="15.75" customHeight="1">
      <c r="D105" s="474"/>
    </row>
    <row r="106" spans="4:4" ht="15.75" customHeight="1">
      <c r="D106" s="474"/>
    </row>
    <row r="107" spans="4:4" ht="15.75" customHeight="1">
      <c r="D107" s="474"/>
    </row>
    <row r="108" spans="4:4" ht="15.75" customHeight="1">
      <c r="D108" s="474"/>
    </row>
    <row r="109" spans="4:4" ht="15.75" customHeight="1">
      <c r="D109" s="474"/>
    </row>
    <row r="110" spans="4:4" ht="15.75" customHeight="1">
      <c r="D110" s="474"/>
    </row>
    <row r="111" spans="4:4" ht="15.75" customHeight="1">
      <c r="D111" s="474"/>
    </row>
    <row r="112" spans="4:4" ht="15.75" customHeight="1">
      <c r="D112" s="474"/>
    </row>
    <row r="113" spans="4:4" ht="15.75" customHeight="1">
      <c r="D113" s="474"/>
    </row>
    <row r="114" spans="4:4" ht="15.75" customHeight="1">
      <c r="D114" s="474"/>
    </row>
    <row r="115" spans="4:4" ht="15.75" customHeight="1">
      <c r="D115" s="474"/>
    </row>
    <row r="116" spans="4:4" ht="15.75" customHeight="1">
      <c r="D116" s="474"/>
    </row>
    <row r="117" spans="4:4" ht="15.75" customHeight="1">
      <c r="D117" s="474"/>
    </row>
    <row r="118" spans="4:4" ht="15.75" customHeight="1">
      <c r="D118" s="474"/>
    </row>
    <row r="119" spans="4:4" ht="15.75" customHeight="1">
      <c r="D119" s="474"/>
    </row>
    <row r="120" spans="4:4" ht="15.75" customHeight="1">
      <c r="D120" s="474"/>
    </row>
    <row r="121" spans="4:4" ht="15.75" customHeight="1">
      <c r="D121" s="474"/>
    </row>
    <row r="122" spans="4:4" ht="15.75" customHeight="1">
      <c r="D122" s="474"/>
    </row>
    <row r="123" spans="4:4" ht="15.75" customHeight="1">
      <c r="D123" s="474"/>
    </row>
    <row r="124" spans="4:4" ht="15.75" customHeight="1">
      <c r="D124" s="474"/>
    </row>
    <row r="125" spans="4:4" ht="15.75" customHeight="1">
      <c r="D125" s="474"/>
    </row>
    <row r="126" spans="4:4" ht="15.75" customHeight="1">
      <c r="D126" s="474"/>
    </row>
    <row r="127" spans="4:4" ht="15.75" customHeight="1">
      <c r="D127" s="474"/>
    </row>
    <row r="128" spans="4:4" ht="15.75" customHeight="1">
      <c r="D128" s="474"/>
    </row>
    <row r="129" spans="4:4" ht="15.75" customHeight="1">
      <c r="D129" s="474"/>
    </row>
    <row r="130" spans="4:4" ht="15.75" customHeight="1">
      <c r="D130" s="474"/>
    </row>
    <row r="131" spans="4:4" ht="15.75" customHeight="1">
      <c r="D131" s="474"/>
    </row>
    <row r="132" spans="4:4" ht="15.75" customHeight="1">
      <c r="D132" s="474"/>
    </row>
    <row r="133" spans="4:4" ht="15.75" customHeight="1">
      <c r="D133" s="474"/>
    </row>
    <row r="134" spans="4:4" ht="15.75" customHeight="1">
      <c r="D134" s="474"/>
    </row>
    <row r="135" spans="4:4" ht="15.75" customHeight="1">
      <c r="D135" s="474"/>
    </row>
    <row r="136" spans="4:4" ht="15.75" customHeight="1">
      <c r="D136" s="474"/>
    </row>
    <row r="137" spans="4:4" ht="15.75" customHeight="1">
      <c r="D137" s="474"/>
    </row>
    <row r="138" spans="4:4" ht="15.75" customHeight="1">
      <c r="D138" s="474"/>
    </row>
    <row r="139" spans="4:4" ht="15.75" customHeight="1">
      <c r="D139" s="474"/>
    </row>
    <row r="140" spans="4:4" ht="15.75" customHeight="1">
      <c r="D140" s="474"/>
    </row>
    <row r="141" spans="4:4" ht="15.75" customHeight="1">
      <c r="D141" s="474"/>
    </row>
    <row r="142" spans="4:4" ht="15.75" customHeight="1">
      <c r="D142" s="474"/>
    </row>
    <row r="143" spans="4:4" ht="15.75" customHeight="1">
      <c r="D143" s="474"/>
    </row>
    <row r="144" spans="4:4" ht="15.75" customHeight="1">
      <c r="D144" s="474"/>
    </row>
    <row r="145" spans="4:4" ht="15.75" customHeight="1">
      <c r="D145" s="474"/>
    </row>
    <row r="146" spans="4:4" ht="15.75" customHeight="1">
      <c r="D146" s="474"/>
    </row>
    <row r="147" spans="4:4" ht="15.75" customHeight="1">
      <c r="D147" s="474"/>
    </row>
    <row r="148" spans="4:4" ht="15.75" customHeight="1">
      <c r="D148" s="474"/>
    </row>
    <row r="149" spans="4:4" ht="15.75" customHeight="1">
      <c r="D149" s="474"/>
    </row>
    <row r="150" spans="4:4" ht="15.75" customHeight="1">
      <c r="D150" s="474"/>
    </row>
    <row r="151" spans="4:4" ht="15.75" customHeight="1">
      <c r="D151" s="474"/>
    </row>
    <row r="152" spans="4:4" ht="15.75" customHeight="1">
      <c r="D152" s="474"/>
    </row>
    <row r="153" spans="4:4" ht="15.75" customHeight="1">
      <c r="D153" s="474"/>
    </row>
    <row r="154" spans="4:4" ht="15.75" customHeight="1">
      <c r="D154" s="474"/>
    </row>
    <row r="155" spans="4:4" ht="15.75" customHeight="1">
      <c r="D155" s="474"/>
    </row>
    <row r="156" spans="4:4" ht="15.75" customHeight="1">
      <c r="D156" s="474"/>
    </row>
    <row r="157" spans="4:4" ht="15.75" customHeight="1">
      <c r="D157" s="474"/>
    </row>
    <row r="158" spans="4:4" ht="15.75" customHeight="1">
      <c r="D158" s="474"/>
    </row>
    <row r="159" spans="4:4" ht="15.75" customHeight="1">
      <c r="D159" s="474"/>
    </row>
    <row r="160" spans="4:4" ht="15.75" customHeight="1">
      <c r="D160" s="474"/>
    </row>
    <row r="161" spans="4:4" ht="15.75" customHeight="1">
      <c r="D161" s="474"/>
    </row>
    <row r="162" spans="4:4" ht="15.75" customHeight="1">
      <c r="D162" s="474"/>
    </row>
    <row r="163" spans="4:4" ht="15.75" customHeight="1">
      <c r="D163" s="474"/>
    </row>
    <row r="164" spans="4:4" ht="15.75" customHeight="1">
      <c r="D164" s="474"/>
    </row>
    <row r="165" spans="4:4" ht="15.75" customHeight="1">
      <c r="D165" s="474"/>
    </row>
    <row r="166" spans="4:4" ht="15.75" customHeight="1">
      <c r="D166" s="474"/>
    </row>
    <row r="167" spans="4:4" ht="15.75" customHeight="1">
      <c r="D167" s="474"/>
    </row>
    <row r="168" spans="4:4" ht="15.75" customHeight="1">
      <c r="D168" s="474"/>
    </row>
    <row r="169" spans="4:4" ht="15.75" customHeight="1">
      <c r="D169" s="474"/>
    </row>
    <row r="170" spans="4:4" ht="15.75" customHeight="1">
      <c r="D170" s="474"/>
    </row>
    <row r="171" spans="4:4" ht="15.75" customHeight="1">
      <c r="D171" s="474"/>
    </row>
    <row r="172" spans="4:4" ht="15.75" customHeight="1">
      <c r="D172" s="474"/>
    </row>
    <row r="173" spans="4:4" ht="15.75" customHeight="1">
      <c r="D173" s="474"/>
    </row>
    <row r="174" spans="4:4" ht="15.75" customHeight="1">
      <c r="D174" s="474"/>
    </row>
    <row r="175" spans="4:4" ht="15.75" customHeight="1">
      <c r="D175" s="474"/>
    </row>
    <row r="176" spans="4:4" ht="15.75" customHeight="1">
      <c r="D176" s="474"/>
    </row>
    <row r="177" spans="4:4" ht="15.75" customHeight="1">
      <c r="D177" s="474"/>
    </row>
    <row r="178" spans="4:4" ht="15.75" customHeight="1">
      <c r="D178" s="474"/>
    </row>
    <row r="179" spans="4:4" ht="15.75" customHeight="1">
      <c r="D179" s="474"/>
    </row>
    <row r="180" spans="4:4" ht="15.75" customHeight="1">
      <c r="D180" s="474"/>
    </row>
    <row r="181" spans="4:4" ht="15.75" customHeight="1">
      <c r="D181" s="474"/>
    </row>
    <row r="182" spans="4:4" ht="15.75" customHeight="1">
      <c r="D182" s="474"/>
    </row>
    <row r="183" spans="4:4" ht="15.75" customHeight="1">
      <c r="D183" s="474"/>
    </row>
    <row r="184" spans="4:4" ht="15.75" customHeight="1">
      <c r="D184" s="474"/>
    </row>
    <row r="185" spans="4:4" ht="15.75" customHeight="1">
      <c r="D185" s="474"/>
    </row>
    <row r="186" spans="4:4" ht="15.75" customHeight="1">
      <c r="D186" s="474"/>
    </row>
    <row r="187" spans="4:4" ht="15.75" customHeight="1">
      <c r="D187" s="474"/>
    </row>
    <row r="188" spans="4:4" ht="15.75" customHeight="1">
      <c r="D188" s="474"/>
    </row>
    <row r="189" spans="4:4" ht="15.75" customHeight="1">
      <c r="D189" s="474"/>
    </row>
    <row r="190" spans="4:4" ht="15.75" customHeight="1">
      <c r="D190" s="474"/>
    </row>
    <row r="191" spans="4:4" ht="15.75" customHeight="1">
      <c r="D191" s="474"/>
    </row>
    <row r="192" spans="4:4" ht="15.75" customHeight="1">
      <c r="D192" s="474"/>
    </row>
    <row r="193" spans="4:4" ht="15.75" customHeight="1">
      <c r="D193" s="474"/>
    </row>
    <row r="194" spans="4:4" ht="15.75" customHeight="1">
      <c r="D194" s="474"/>
    </row>
    <row r="195" spans="4:4" ht="15.75" customHeight="1">
      <c r="D195" s="474"/>
    </row>
    <row r="196" spans="4:4" ht="15.75" customHeight="1">
      <c r="D196" s="474"/>
    </row>
    <row r="197" spans="4:4" ht="15.75" customHeight="1">
      <c r="D197" s="474"/>
    </row>
    <row r="198" spans="4:4" ht="15.75" customHeight="1">
      <c r="D198" s="474"/>
    </row>
    <row r="199" spans="4:4" ht="15.75" customHeight="1">
      <c r="D199" s="474"/>
    </row>
    <row r="200" spans="4:4" ht="15.75" customHeight="1">
      <c r="D200" s="474"/>
    </row>
    <row r="201" spans="4:4" ht="15.75" customHeight="1">
      <c r="D201" s="474"/>
    </row>
    <row r="202" spans="4:4" ht="15.75" customHeight="1">
      <c r="D202" s="474"/>
    </row>
    <row r="203" spans="4:4" ht="15.75" customHeight="1">
      <c r="D203" s="474"/>
    </row>
    <row r="204" spans="4:4" ht="15.75" customHeight="1">
      <c r="D204" s="474"/>
    </row>
    <row r="205" spans="4:4" ht="15.75" customHeight="1">
      <c r="D205" s="474"/>
    </row>
    <row r="206" spans="4:4" ht="15.75" customHeight="1">
      <c r="D206" s="474"/>
    </row>
    <row r="207" spans="4:4" ht="15.75" customHeight="1">
      <c r="D207" s="474"/>
    </row>
    <row r="208" spans="4:4" ht="15.75" customHeight="1">
      <c r="D208" s="474"/>
    </row>
    <row r="209" spans="4:4" ht="15.75" customHeight="1">
      <c r="D209" s="474"/>
    </row>
    <row r="210" spans="4:4" ht="15.75" customHeight="1">
      <c r="D210" s="474"/>
    </row>
    <row r="211" spans="4:4" ht="15.75" customHeight="1">
      <c r="D211" s="474"/>
    </row>
    <row r="212" spans="4:4" ht="15.75" customHeight="1">
      <c r="D212" s="474"/>
    </row>
    <row r="213" spans="4:4" ht="15.75" customHeight="1">
      <c r="D213" s="474"/>
    </row>
    <row r="214" spans="4:4" ht="15.75" customHeight="1">
      <c r="D214" s="474"/>
    </row>
    <row r="215" spans="4:4" ht="15.75" customHeight="1">
      <c r="D215" s="474"/>
    </row>
    <row r="216" spans="4:4" ht="15.75" customHeight="1">
      <c r="D216" s="474"/>
    </row>
    <row r="217" spans="4:4" ht="15.75" customHeight="1">
      <c r="D217" s="474"/>
    </row>
    <row r="218" spans="4:4" ht="15.75" customHeight="1">
      <c r="D218" s="474"/>
    </row>
    <row r="219" spans="4:4" ht="15.75" customHeight="1">
      <c r="D219" s="474"/>
    </row>
    <row r="220" spans="4:4" ht="15.75" customHeight="1">
      <c r="D220" s="474"/>
    </row>
    <row r="221" spans="4:4" ht="15.75" customHeight="1">
      <c r="D221" s="474"/>
    </row>
    <row r="222" spans="4:4" ht="15.75" customHeight="1">
      <c r="D222" s="474"/>
    </row>
    <row r="223" spans="4:4" ht="15.75" customHeight="1">
      <c r="D223" s="474"/>
    </row>
    <row r="224" spans="4:4" ht="15.75" customHeight="1">
      <c r="D224" s="474"/>
    </row>
    <row r="225" spans="4:4" ht="15.75" customHeight="1">
      <c r="D225" s="474"/>
    </row>
    <row r="226" spans="4:4" ht="15.75" customHeight="1">
      <c r="D226" s="474"/>
    </row>
    <row r="227" spans="4:4" ht="15.75" customHeight="1">
      <c r="D227" s="474"/>
    </row>
    <row r="228" spans="4:4" ht="15.75" customHeight="1">
      <c r="D228" s="474"/>
    </row>
    <row r="229" spans="4:4" ht="15.75" customHeight="1">
      <c r="D229" s="474"/>
    </row>
    <row r="230" spans="4:4" ht="15.75" customHeight="1">
      <c r="D230" s="474"/>
    </row>
    <row r="231" spans="4:4" ht="15.75" customHeight="1">
      <c r="D231" s="474"/>
    </row>
    <row r="232" spans="4:4" ht="15.75" customHeight="1">
      <c r="D232" s="474"/>
    </row>
    <row r="233" spans="4:4" ht="15.75" customHeight="1">
      <c r="D233" s="474"/>
    </row>
    <row r="234" spans="4:4" ht="15.75" customHeight="1">
      <c r="D234" s="474"/>
    </row>
    <row r="235" spans="4:4" ht="15.75" customHeight="1">
      <c r="D235" s="474"/>
    </row>
    <row r="236" spans="4:4" ht="15.75" customHeight="1">
      <c r="D236" s="474"/>
    </row>
    <row r="237" spans="4:4" ht="15.75" customHeight="1">
      <c r="D237" s="474"/>
    </row>
    <row r="238" spans="4:4" ht="15.75" customHeight="1">
      <c r="D238" s="474"/>
    </row>
    <row r="239" spans="4:4" ht="15.75" customHeight="1">
      <c r="D239" s="474"/>
    </row>
    <row r="240" spans="4:4" ht="15.75" customHeight="1">
      <c r="D240" s="474"/>
    </row>
    <row r="241" spans="4:4" ht="15.75" customHeight="1">
      <c r="D241" s="474"/>
    </row>
    <row r="242" spans="4:4" ht="15.75" customHeight="1"/>
    <row r="243" spans="4:4" ht="15.75" customHeight="1"/>
    <row r="244" spans="4:4" ht="15.75" customHeight="1"/>
    <row r="245" spans="4:4" ht="15.75" customHeight="1"/>
    <row r="246" spans="4:4" ht="15.75" customHeight="1"/>
    <row r="247" spans="4:4" ht="15.75" customHeight="1"/>
    <row r="248" spans="4:4" ht="15.75" customHeight="1"/>
    <row r="249" spans="4:4" ht="15.75" customHeight="1"/>
    <row r="250" spans="4:4" ht="15.75" customHeight="1"/>
    <row r="251" spans="4:4" ht="15.75" customHeight="1"/>
    <row r="252" spans="4:4" ht="15.75" customHeight="1"/>
    <row r="253" spans="4:4" ht="15.75" customHeight="1"/>
    <row r="254" spans="4:4" ht="15.75" customHeight="1"/>
    <row r="255" spans="4:4" ht="15.75" customHeight="1"/>
    <row r="256" spans="4: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K3:K4"/>
    <mergeCell ref="L3:M3"/>
    <mergeCell ref="M41:M43"/>
    <mergeCell ref="A1:N1"/>
    <mergeCell ref="A2:A4"/>
    <mergeCell ref="B2:B4"/>
    <mergeCell ref="C2:C4"/>
    <mergeCell ref="D2:D4"/>
    <mergeCell ref="E2:M2"/>
    <mergeCell ref="N2:N4"/>
    <mergeCell ref="E3:G3"/>
    <mergeCell ref="H3:J3"/>
    <mergeCell ref="A39:B39"/>
    <mergeCell ref="F41:F43"/>
    <mergeCell ref="I41:I4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Nasional</vt:lpstr>
      <vt:lpstr>Provinsi</vt:lpstr>
      <vt:lpstr>Kabupaten</vt:lpstr>
      <vt:lpstr>111424_JointoSpasial</vt:lpstr>
      <vt:lpstr>Copy of RTRW</vt:lpstr>
      <vt:lpstr>BACK UP</vt:lpstr>
      <vt:lpstr>BU of PERDA RTRW LP2B DAN PERKA</vt:lpstr>
      <vt:lpstr>BU of REKAPITULASI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pusdatin</cp:lastModifiedBy>
  <cp:revision/>
  <dcterms:created xsi:type="dcterms:W3CDTF">2026-01-06T13:06:26Z</dcterms:created>
  <dcterms:modified xsi:type="dcterms:W3CDTF">2026-06-23T07:11:03Z</dcterms:modified>
  <cp:category/>
  <cp:contentStatus/>
</cp:coreProperties>
</file>